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E3674A0-ED47-4D48-B305-EF40FE16D86F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Plan" sheetId="4" r:id="rId1"/>
    <sheet name="Deposit" sheetId="5" r:id="rId2"/>
    <sheet name="Portfolio" sheetId="6" r:id="rId3"/>
    <sheet name="Return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6" l="1"/>
  <c r="H11" i="6"/>
  <c r="N21" i="6"/>
  <c r="P19" i="6"/>
  <c r="G17" i="6"/>
  <c r="E17" i="6"/>
  <c r="J17" i="6" s="1"/>
  <c r="J16" i="6"/>
  <c r="G16" i="6"/>
  <c r="B4" i="5"/>
  <c r="F7" i="6"/>
  <c r="G7" i="6" s="1"/>
  <c r="E7" i="6"/>
  <c r="J7" i="6" s="1"/>
  <c r="J4" i="6"/>
  <c r="K4" i="6" s="1"/>
  <c r="G4" i="6"/>
  <c r="H4" i="6" s="1"/>
  <c r="J6" i="6"/>
  <c r="G6" i="6"/>
  <c r="H6" i="6" s="1"/>
  <c r="G22" i="4"/>
  <c r="H21" i="4"/>
  <c r="H20" i="4"/>
  <c r="H19" i="4"/>
  <c r="H18" i="4"/>
  <c r="H17" i="4"/>
  <c r="H16" i="4"/>
  <c r="H22" i="4" s="1"/>
  <c r="G6" i="4"/>
  <c r="G7" i="4" s="1"/>
  <c r="G11" i="4" s="1"/>
  <c r="G13" i="4" s="1"/>
  <c r="G10" i="4" s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3" i="4"/>
  <c r="B4" i="7" l="1"/>
  <c r="L17" i="6"/>
  <c r="O16" i="6"/>
  <c r="O4" i="6"/>
  <c r="L4" i="6"/>
  <c r="H7" i="6"/>
  <c r="O7" i="6" s="1"/>
  <c r="L6" i="6"/>
  <c r="O6" i="6"/>
  <c r="C41" i="4"/>
  <c r="C37" i="4"/>
  <c r="C33" i="4"/>
  <c r="C29" i="4"/>
  <c r="C25" i="4"/>
  <c r="C12" i="4"/>
  <c r="C5" i="4"/>
  <c r="C14" i="4"/>
  <c r="C35" i="4"/>
  <c r="C7" i="4"/>
  <c r="C19" i="4"/>
  <c r="C9" i="4"/>
  <c r="C15" i="4"/>
  <c r="C8" i="4"/>
  <c r="C40" i="4"/>
  <c r="C36" i="4"/>
  <c r="C32" i="4"/>
  <c r="C28" i="4"/>
  <c r="C24" i="4"/>
  <c r="C21" i="4"/>
  <c r="C18" i="4"/>
  <c r="C11" i="4"/>
  <c r="C4" i="4"/>
  <c r="C39" i="4"/>
  <c r="C31" i="4"/>
  <c r="C27" i="4"/>
  <c r="C23" i="4"/>
  <c r="C6" i="4"/>
  <c r="C16" i="4"/>
  <c r="C20" i="4"/>
  <c r="C17" i="4"/>
  <c r="C3" i="4"/>
  <c r="D3" i="4" s="1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C10" i="4"/>
  <c r="C42" i="4"/>
  <c r="C38" i="4"/>
  <c r="C34" i="4"/>
  <c r="C30" i="4"/>
  <c r="C26" i="4"/>
  <c r="C13" i="4"/>
  <c r="C22" i="4"/>
  <c r="P17" i="6" l="1"/>
  <c r="Q17" i="6" s="1"/>
  <c r="M17" i="6"/>
  <c r="O17" i="6"/>
  <c r="L16" i="6"/>
  <c r="L21" i="6"/>
  <c r="L7" i="6"/>
  <c r="M7" i="6" s="1"/>
  <c r="M4" i="6"/>
  <c r="P4" i="6"/>
  <c r="Q4" i="6" s="1"/>
  <c r="P6" i="6"/>
  <c r="Q6" i="6" s="1"/>
  <c r="M6" i="6"/>
  <c r="P9" i="6"/>
  <c r="N11" i="6"/>
  <c r="B3" i="5"/>
  <c r="C3" i="5" s="1"/>
  <c r="C4" i="5" s="1"/>
  <c r="P16" i="6" l="1"/>
  <c r="Q16" i="6" s="1"/>
  <c r="M16" i="6"/>
  <c r="P7" i="6"/>
  <c r="Q7" i="6" s="1"/>
  <c r="G11" i="6"/>
  <c r="G9" i="6" s="1"/>
  <c r="J9" i="6" s="1"/>
  <c r="B3" i="7"/>
  <c r="F3" i="7" s="1"/>
  <c r="J11" i="6" l="1"/>
  <c r="D16" i="6" s="1"/>
  <c r="G19" i="6"/>
  <c r="J19" i="6"/>
  <c r="J21" i="6" s="1"/>
  <c r="Q19" i="6"/>
  <c r="O19" i="6"/>
  <c r="P21" i="6"/>
  <c r="O9" i="6"/>
  <c r="O11" i="6"/>
  <c r="Q9" i="6"/>
  <c r="D3" i="7"/>
  <c r="E3" i="7" s="1"/>
  <c r="B6" i="7"/>
  <c r="L11" i="6"/>
  <c r="M11" i="6" s="1"/>
  <c r="D17" i="6" l="1"/>
  <c r="G21" i="6"/>
  <c r="Q21" i="6"/>
  <c r="G4" i="7"/>
  <c r="O21" i="6"/>
  <c r="M21" i="6"/>
  <c r="D7" i="6"/>
  <c r="D6" i="6"/>
  <c r="P11" i="6"/>
  <c r="Q11" i="6" l="1"/>
  <c r="G3" i="7"/>
  <c r="G6" i="7" l="1"/>
  <c r="H3" i="7"/>
  <c r="F4" i="7" s="1"/>
  <c r="H4" i="7" s="1"/>
  <c r="I3" i="7" l="1"/>
  <c r="C4" i="7" s="1"/>
  <c r="D4" i="7" s="1"/>
  <c r="E4" i="7" s="1"/>
  <c r="I4" i="7" s="1"/>
  <c r="J6" i="7" l="1"/>
  <c r="J4" i="7"/>
  <c r="J3" i="7"/>
</calcChain>
</file>

<file path=xl/sharedStrings.xml><?xml version="1.0" encoding="utf-8"?>
<sst xmlns="http://schemas.openxmlformats.org/spreadsheetml/2006/main" count="124" uniqueCount="114">
  <si>
    <t>Total</t>
  </si>
  <si>
    <t>ผลตอบแทนคาดหวังจากเงินปันผล</t>
  </si>
  <si>
    <t>รายได้ต่อปีที่ต้องการ</t>
  </si>
  <si>
    <t>ตั้งเป้าเกษียณ</t>
  </si>
  <si>
    <t>อายุปัจจุบัน</t>
  </si>
  <si>
    <t>%Return</t>
  </si>
  <si>
    <t>Plan</t>
  </si>
  <si>
    <t>%Expect</t>
  </si>
  <si>
    <t>Saving</t>
  </si>
  <si>
    <t>#</t>
  </si>
  <si>
    <t>Year</t>
  </si>
  <si>
    <t>Equity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</si>
  <si>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</si>
  <si>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</si>
  <si>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</si>
  <si>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</si>
  <si>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</si>
  <si>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</si>
  <si>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</si>
  <si>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</si>
  <si>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</si>
  <si>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</si>
  <si>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</si>
  <si>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</si>
  <si>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 &gt; Date</t>
  </si>
  <si>
    <t>S &gt; Date</t>
  </si>
  <si>
    <t>Symbol</t>
  </si>
  <si>
    <t>Proportion</t>
  </si>
  <si>
    <t>Units</t>
  </si>
  <si>
    <t>Cost</t>
  </si>
  <si>
    <t>Market</t>
  </si>
  <si>
    <t>Cost Amount</t>
  </si>
  <si>
    <t>Market Value</t>
  </si>
  <si>
    <t>Cap. Gain</t>
  </si>
  <si>
    <t>%Cap Gain</t>
  </si>
  <si>
    <t>Div.</t>
  </si>
  <si>
    <t>%Div</t>
  </si>
  <si>
    <t>Total Gain</t>
  </si>
  <si>
    <t>%Gain</t>
  </si>
  <si>
    <t>CASH</t>
  </si>
  <si>
    <t>TOTAL</t>
  </si>
  <si>
    <t>B&gt; Fee</t>
  </si>
  <si>
    <t>S&gt; Fee</t>
  </si>
  <si>
    <t>Deposit</t>
  </si>
  <si>
    <t>NAV</t>
  </si>
  <si>
    <t>Unit Add</t>
  </si>
  <si>
    <t>Balance Unit</t>
  </si>
  <si>
    <t>BOY</t>
  </si>
  <si>
    <t>Gain / (Loss)</t>
  </si>
  <si>
    <t>EOY</t>
  </si>
  <si>
    <t>วันที่ซื้อ</t>
  </si>
  <si>
    <t>วันที่ขาย</t>
  </si>
  <si>
    <t>ชื่อหุ้น</t>
  </si>
  <si>
    <t>สัดส่วนต่อพอร์ต</t>
  </si>
  <si>
    <t>จำนวนหุ้น</t>
  </si>
  <si>
    <t>ต้นทุน</t>
  </si>
  <si>
    <t>มูลค่าต้นทุน</t>
  </si>
  <si>
    <t>ค่าธรรมเนียม</t>
  </si>
  <si>
    <t>ราคาตลาด</t>
  </si>
  <si>
    <t>มูลค่าตลาด</t>
  </si>
  <si>
    <t>ส่วนต่างราคา</t>
  </si>
  <si>
    <t>%ส่วนต่างราคา</t>
  </si>
  <si>
    <t>ปันผล</t>
  </si>
  <si>
    <t>%เงินปันผล</t>
  </si>
  <si>
    <t>ผลตอบแทนรวม</t>
  </si>
  <si>
    <t>%ผลตอบแทนรวม</t>
  </si>
  <si>
    <t>ปี</t>
  </si>
  <si>
    <t>Unit คงเหลือ</t>
  </si>
  <si>
    <t>กำไร / ขาดทุน</t>
  </si>
  <si>
    <t>%ผลตอบแทน</t>
  </si>
  <si>
    <t>ออมเงิน รายเดือน</t>
  </si>
  <si>
    <t>เงินออมรวม</t>
  </si>
  <si>
    <t>เงินทุนรวม</t>
  </si>
  <si>
    <t>ผลตอบแทนคาดหวังต่อปี</t>
  </si>
  <si>
    <t>ประเภทหุ้น</t>
  </si>
  <si>
    <t>1. โตช้า</t>
  </si>
  <si>
    <t>2. แข็งแกร่ง</t>
  </si>
  <si>
    <t>3. โตเร็ว</t>
  </si>
  <si>
    <t>4. วัฏจักร</t>
  </si>
  <si>
    <t>5. ฟื้นตัว</t>
  </si>
  <si>
    <t>6. ทรัพย์สินมาก</t>
  </si>
  <si>
    <t>รวม</t>
  </si>
  <si>
    <t>รายชื่อหุ้นที่น่าสนใจ</t>
  </si>
  <si>
    <t>ประเภท</t>
  </si>
  <si>
    <t>ปีที่</t>
  </si>
  <si>
    <t>เงินออมรายปี</t>
  </si>
  <si>
    <t>ผลตอบแทนคาดหวัง</t>
  </si>
  <si>
    <t>แผน</t>
  </si>
  <si>
    <t>CPALL</t>
  </si>
  <si>
    <t>CAGR</t>
  </si>
  <si>
    <t>กรอกเฉพาะช่องสีเหลืองเท่านั้น !!!</t>
  </si>
  <si>
    <t>เงินออม</t>
  </si>
  <si>
    <t>NAV ต้นงวด</t>
  </si>
  <si>
    <t>NAV ท้ายงวด</t>
  </si>
  <si>
    <t>ต้นงวด</t>
  </si>
  <si>
    <t>ท้ายงวด</t>
  </si>
  <si>
    <t>Unit เพิ่ม</t>
  </si>
  <si>
    <t>เป้าหมาย Passive Income หลังเกษียณ</t>
  </si>
  <si>
    <t>ระยะเวลาในการลงทุนแบบ Active</t>
  </si>
  <si>
    <t>เป้าหมาย Passive Income หลังเกษียณ + เงินเฟ้อ 2%</t>
  </si>
  <si>
    <t>เงินทุนเริ่มต้น</t>
  </si>
  <si>
    <t>เงินทุนที่ต้องมีในหุ้นก่อนเกษียณ</t>
  </si>
  <si>
    <t>Weighted</t>
  </si>
  <si>
    <t>ATP30</t>
  </si>
  <si>
    <t>แต่ในตาราง ช่อง H11 กับ K11</t>
  </si>
  <si>
    <t>เป็นช่องว่างไม่มีค่าอะไร</t>
  </si>
  <si>
    <t>ช่อง M11  สูตรคือ =L11/(G11+H11+K11)</t>
  </si>
  <si>
    <t xml:space="preserve">สอบถามนะคะ </t>
  </si>
  <si>
    <t xml:space="preserve">จริงๆ แล้ว H11 ต้องเป็น ค่าผลรวมของ H6 กับ H7 </t>
  </si>
  <si>
    <t xml:space="preserve">K11 ต้องเป็น ค่าผลรวมของ K6 กับ K7 </t>
  </si>
  <si>
    <t xml:space="preserve">หรือเปล่าคะ </t>
  </si>
  <si>
    <t xml:space="preserve">หรือ แบบในตารางถูกต้องแล้วคะ </t>
  </si>
  <si>
    <t xml:space="preserve">ขอบคุณค่ะ </t>
  </si>
  <si>
    <t>ถูกต้องครับ ผมน่าจะ missing ไปครับ ขอบคุณมากครับ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</si>
</sst>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[$-409]d\-mmm\-yy;@"/>
    <numFmt numFmtId="190" formatCode="[$-409]d/mmm/yy;@"/>
  </numFmts>
  <fonts count="15" x14ac:knownFonts="1">
    <font>
      <sz val="11"/>
      <color theme="1"/>
      <name val="Century Gothic"/>
      <family val="2"/>
    </font>
    <font>
      <sz val="12"/>
      <color theme="1"/>
      <name val="Tahoma"/>
      <family val="2"/>
      <scheme val="minor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2"/>
      <name val="Century Gothic"/>
      <family val="2"/>
    </font>
    <font>
      <b/>
      <sz val="14"/>
      <color theme="0"/>
      <name val="Century Gothic"/>
      <family val="2"/>
    </font>
    <font>
      <b/>
      <sz val="14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1"/>
      <color rgb="FFFF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4">
    <xf numFmtId="0" fontId="0" fillId="0" borderId="0" xfId="0"/>
    <xf numFmtId="188" fontId="2" fillId="0" borderId="0" xfId="1" applyNumberFormat="1" applyFont="1"/>
    <xf numFmtId="10" fontId="2" fillId="0" borderId="0" xfId="2" applyNumberFormat="1" applyFont="1"/>
    <xf numFmtId="188" fontId="4" fillId="0" borderId="0" xfId="1" applyNumberFormat="1" applyFont="1"/>
    <xf numFmtId="10" fontId="4" fillId="0" borderId="0" xfId="2" applyNumberFormat="1" applyFont="1"/>
    <xf numFmtId="188" fontId="4" fillId="0" borderId="0" xfId="1" applyNumberFormat="1" applyFont="1" applyFill="1" applyBorder="1"/>
    <xf numFmtId="188" fontId="2" fillId="3" borderId="1" xfId="1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88" fontId="3" fillId="4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88" fontId="2" fillId="0" borderId="1" xfId="1" applyNumberFormat="1" applyFont="1" applyBorder="1"/>
    <xf numFmtId="188" fontId="4" fillId="5" borderId="0" xfId="1" applyNumberFormat="1" applyFont="1" applyFill="1"/>
    <xf numFmtId="18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7" fontId="3" fillId="6" borderId="2" xfId="1" applyFont="1" applyFill="1" applyBorder="1" applyAlignment="1">
      <alignment horizontal="center"/>
    </xf>
    <xf numFmtId="187" fontId="3" fillId="7" borderId="1" xfId="1" applyFont="1" applyFill="1" applyBorder="1" applyAlignment="1">
      <alignment horizontal="center"/>
    </xf>
    <xf numFmtId="187" fontId="3" fillId="6" borderId="1" xfId="1" applyFont="1" applyFill="1" applyBorder="1" applyAlignment="1">
      <alignment horizontal="center"/>
    </xf>
    <xf numFmtId="187" fontId="3" fillId="8" borderId="1" xfId="1" applyFont="1" applyFill="1" applyBorder="1" applyAlignment="1">
      <alignment horizontal="center"/>
    </xf>
    <xf numFmtId="10" fontId="3" fillId="8" borderId="1" xfId="2" applyNumberFormat="1" applyFont="1" applyFill="1" applyBorder="1" applyAlignment="1">
      <alignment horizontal="center"/>
    </xf>
    <xf numFmtId="187" fontId="7" fillId="3" borderId="1" xfId="1" applyFont="1" applyFill="1" applyBorder="1" applyAlignment="1">
      <alignment horizontal="center"/>
    </xf>
    <xf numFmtId="10" fontId="7" fillId="3" borderId="1" xfId="2" applyNumberFormat="1" applyFont="1" applyFill="1" applyBorder="1" applyAlignment="1">
      <alignment horizontal="center"/>
    </xf>
    <xf numFmtId="187" fontId="3" fillId="9" borderId="1" xfId="1" applyFont="1" applyFill="1" applyBorder="1" applyAlignment="1">
      <alignment horizontal="center"/>
    </xf>
    <xf numFmtId="10" fontId="3" fillId="9" borderId="1" xfId="2" applyNumberFormat="1" applyFont="1" applyFill="1" applyBorder="1" applyAlignment="1">
      <alignment horizontal="center"/>
    </xf>
    <xf numFmtId="187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90" fontId="2" fillId="0" borderId="0" xfId="1" applyNumberFormat="1" applyFont="1"/>
    <xf numFmtId="10" fontId="4" fillId="0" borderId="0" xfId="2" applyNumberFormat="1" applyFont="1" applyFill="1"/>
    <xf numFmtId="188" fontId="4" fillId="0" borderId="0" xfId="1" applyNumberFormat="1" applyFont="1" applyFill="1"/>
    <xf numFmtId="0" fontId="8" fillId="2" borderId="2" xfId="0" applyFont="1" applyFill="1" applyBorder="1"/>
    <xf numFmtId="10" fontId="8" fillId="2" borderId="4" xfId="0" applyNumberFormat="1" applyFont="1" applyFill="1" applyBorder="1"/>
    <xf numFmtId="0" fontId="8" fillId="2" borderId="4" xfId="0" applyFont="1" applyFill="1" applyBorder="1"/>
    <xf numFmtId="0" fontId="8" fillId="6" borderId="1" xfId="0" applyFont="1" applyFill="1" applyBorder="1"/>
    <xf numFmtId="0" fontId="8" fillId="7" borderId="1" xfId="0" applyFont="1" applyFill="1" applyBorder="1"/>
    <xf numFmtId="187" fontId="8" fillId="6" borderId="1" xfId="1" applyFont="1" applyFill="1" applyBorder="1"/>
    <xf numFmtId="187" fontId="8" fillId="7" borderId="1" xfId="1" applyFont="1" applyFill="1" applyBorder="1"/>
    <xf numFmtId="187" fontId="8" fillId="8" borderId="1" xfId="1" applyFont="1" applyFill="1" applyBorder="1"/>
    <xf numFmtId="187" fontId="9" fillId="3" borderId="1" xfId="1" applyFont="1" applyFill="1" applyBorder="1"/>
    <xf numFmtId="187" fontId="8" fillId="9" borderId="1" xfId="1" applyFont="1" applyFill="1" applyBorder="1"/>
    <xf numFmtId="187" fontId="10" fillId="0" borderId="0" xfId="1" applyFont="1"/>
    <xf numFmtId="0" fontId="10" fillId="0" borderId="0" xfId="0" applyFont="1"/>
    <xf numFmtId="0" fontId="3" fillId="4" borderId="1" xfId="0" applyFont="1" applyFill="1" applyBorder="1"/>
    <xf numFmtId="187" fontId="2" fillId="0" borderId="0" xfId="1" applyFont="1" applyBorder="1" applyAlignment="1">
      <alignment horizontal="center"/>
    </xf>
    <xf numFmtId="187" fontId="2" fillId="0" borderId="0" xfId="1" applyFont="1" applyBorder="1"/>
    <xf numFmtId="0" fontId="2" fillId="0" borderId="7" xfId="0" applyFont="1" applyBorder="1"/>
    <xf numFmtId="187" fontId="3" fillId="9" borderId="1" xfId="1" applyFont="1" applyFill="1" applyBorder="1"/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187" fontId="3" fillId="4" borderId="3" xfId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87" fontId="2" fillId="3" borderId="1" xfId="1" applyFont="1" applyFill="1" applyBorder="1" applyAlignment="1">
      <alignment horizontal="center"/>
    </xf>
    <xf numFmtId="187" fontId="2" fillId="3" borderId="1" xfId="1" applyFont="1" applyFill="1" applyBorder="1"/>
    <xf numFmtId="9" fontId="2" fillId="0" borderId="1" xfId="6" applyFont="1" applyBorder="1"/>
    <xf numFmtId="188" fontId="4" fillId="0" borderId="1" xfId="1" applyNumberFormat="1" applyFont="1" applyBorder="1"/>
    <xf numFmtId="9" fontId="2" fillId="3" borderId="1" xfId="6" applyFont="1" applyFill="1" applyBorder="1"/>
    <xf numFmtId="188" fontId="2" fillId="0" borderId="0" xfId="1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8" fillId="9" borderId="1" xfId="6" applyNumberFormat="1" applyFont="1" applyFill="1" applyBorder="1"/>
    <xf numFmtId="10" fontId="8" fillId="8" borderId="1" xfId="6" applyNumberFormat="1" applyFont="1" applyFill="1" applyBorder="1"/>
    <xf numFmtId="188" fontId="3" fillId="2" borderId="1" xfId="1" applyNumberFormat="1" applyFont="1" applyFill="1" applyBorder="1" applyAlignment="1">
      <alignment horizontal="center"/>
    </xf>
    <xf numFmtId="189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/>
    <xf numFmtId="188" fontId="3" fillId="4" borderId="1" xfId="1" applyNumberFormat="1" applyFont="1" applyFill="1" applyBorder="1"/>
    <xf numFmtId="187" fontId="3" fillId="6" borderId="1" xfId="1" applyFont="1" applyFill="1" applyBorder="1"/>
    <xf numFmtId="187" fontId="3" fillId="7" borderId="1" xfId="1" applyFont="1" applyFill="1" applyBorder="1"/>
    <xf numFmtId="187" fontId="3" fillId="8" borderId="1" xfId="1" applyFont="1" applyFill="1" applyBorder="1"/>
    <xf numFmtId="10" fontId="3" fillId="8" borderId="1" xfId="6" applyNumberFormat="1" applyFont="1" applyFill="1" applyBorder="1"/>
    <xf numFmtId="187" fontId="7" fillId="3" borderId="1" xfId="1" applyFont="1" applyFill="1" applyBorder="1"/>
    <xf numFmtId="10" fontId="7" fillId="3" borderId="1" xfId="6" applyNumberFormat="1" applyFont="1" applyFill="1" applyBorder="1"/>
    <xf numFmtId="10" fontId="3" fillId="9" borderId="1" xfId="6" applyNumberFormat="1" applyFont="1" applyFill="1" applyBorder="1"/>
    <xf numFmtId="187" fontId="2" fillId="0" borderId="0" xfId="1" applyFont="1"/>
    <xf numFmtId="0" fontId="2" fillId="0" borderId="0" xfId="0" applyFont="1"/>
    <xf numFmtId="189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10" fontId="3" fillId="0" borderId="5" xfId="2" applyNumberFormat="1" applyFont="1" applyFill="1" applyBorder="1"/>
    <xf numFmtId="188" fontId="3" fillId="0" borderId="6" xfId="1" applyNumberFormat="1" applyFont="1" applyFill="1" applyBorder="1"/>
    <xf numFmtId="187" fontId="3" fillId="0" borderId="3" xfId="1" applyFont="1" applyFill="1" applyBorder="1"/>
    <xf numFmtId="10" fontId="3" fillId="0" borderId="3" xfId="2" applyNumberFormat="1" applyFont="1" applyFill="1" applyBorder="1"/>
    <xf numFmtId="10" fontId="7" fillId="0" borderId="3" xfId="2" applyNumberFormat="1" applyFont="1" applyFill="1" applyBorder="1"/>
    <xf numFmtId="187" fontId="2" fillId="0" borderId="0" xfId="0" applyNumberFormat="1" applyFont="1"/>
    <xf numFmtId="10" fontId="3" fillId="4" borderId="3" xfId="2" applyNumberFormat="1" applyFont="1" applyFill="1" applyBorder="1"/>
    <xf numFmtId="10" fontId="3" fillId="8" borderId="1" xfId="2" applyNumberFormat="1" applyFont="1" applyFill="1" applyBorder="1"/>
    <xf numFmtId="0" fontId="3" fillId="9" borderId="1" xfId="2" applyNumberFormat="1" applyFont="1" applyFill="1" applyBorder="1"/>
    <xf numFmtId="189" fontId="2" fillId="0" borderId="0" xfId="0" applyNumberFormat="1" applyFont="1" applyAlignment="1">
      <alignment horizontal="center"/>
    </xf>
    <xf numFmtId="10" fontId="2" fillId="0" borderId="0" xfId="2" applyNumberFormat="1" applyFont="1" applyFill="1"/>
    <xf numFmtId="188" fontId="2" fillId="0" borderId="0" xfId="1" applyNumberFormat="1" applyFont="1" applyFill="1"/>
    <xf numFmtId="187" fontId="3" fillId="0" borderId="1" xfId="1" applyFont="1" applyFill="1" applyBorder="1"/>
    <xf numFmtId="10" fontId="3" fillId="0" borderId="1" xfId="2" applyNumberFormat="1" applyFont="1" applyFill="1" applyBorder="1"/>
    <xf numFmtId="187" fontId="7" fillId="0" borderId="1" xfId="1" applyFont="1" applyFill="1" applyBorder="1"/>
    <xf numFmtId="10" fontId="7" fillId="0" borderId="1" xfId="2" applyNumberFormat="1" applyFont="1" applyFill="1" applyBorder="1"/>
    <xf numFmtId="187" fontId="2" fillId="0" borderId="0" xfId="1" applyFont="1" applyFill="1"/>
    <xf numFmtId="0" fontId="11" fillId="0" borderId="0" xfId="0" applyFont="1"/>
    <xf numFmtId="0" fontId="2" fillId="0" borderId="6" xfId="0" applyFont="1" applyBorder="1" applyAlignment="1">
      <alignment horizontal="center"/>
    </xf>
    <xf numFmtId="10" fontId="2" fillId="0" borderId="8" xfId="2" applyNumberFormat="1" applyFont="1" applyBorder="1" applyAlignment="1">
      <alignment horizontal="center"/>
    </xf>
    <xf numFmtId="0" fontId="3" fillId="9" borderId="1" xfId="0" applyFont="1" applyFill="1" applyBorder="1"/>
    <xf numFmtId="10" fontId="3" fillId="9" borderId="1" xfId="1" applyNumberFormat="1" applyFont="1" applyFill="1" applyBorder="1"/>
    <xf numFmtId="188" fontId="3" fillId="2" borderId="1" xfId="1" applyNumberFormat="1" applyFont="1" applyFill="1" applyBorder="1"/>
    <xf numFmtId="188" fontId="7" fillId="0" borderId="1" xfId="1" applyNumberFormat="1" applyFont="1" applyFill="1" applyBorder="1"/>
    <xf numFmtId="188" fontId="2" fillId="0" borderId="1" xfId="1" applyNumberFormat="1" applyFont="1" applyFill="1" applyBorder="1"/>
    <xf numFmtId="188" fontId="3" fillId="6" borderId="1" xfId="1" applyNumberFormat="1" applyFont="1" applyFill="1" applyBorder="1"/>
    <xf numFmtId="10" fontId="3" fillId="6" borderId="1" xfId="2" applyNumberFormat="1" applyFont="1" applyFill="1" applyBorder="1" applyAlignment="1">
      <alignment horizontal="right"/>
    </xf>
    <xf numFmtId="188" fontId="13" fillId="0" borderId="0" xfId="1" applyNumberFormat="1" applyFont="1" applyFill="1"/>
    <xf numFmtId="9" fontId="2" fillId="0" borderId="1" xfId="2" applyFont="1" applyBorder="1"/>
    <xf numFmtId="10" fontId="2" fillId="0" borderId="1" xfId="6" applyNumberFormat="1" applyFont="1" applyBorder="1"/>
    <xf numFmtId="188" fontId="3" fillId="0" borderId="5" xfId="1" applyNumberFormat="1" applyFont="1" applyFill="1" applyBorder="1"/>
    <xf numFmtId="187" fontId="3" fillId="0" borderId="5" xfId="1" applyFont="1" applyFill="1" applyBorder="1"/>
    <xf numFmtId="9" fontId="3" fillId="0" borderId="5" xfId="2" applyFont="1" applyFill="1" applyBorder="1"/>
    <xf numFmtId="10" fontId="3" fillId="0" borderId="5" xfId="6" applyNumberFormat="1" applyFont="1" applyFill="1" applyBorder="1"/>
    <xf numFmtId="187" fontId="7" fillId="0" borderId="5" xfId="1" applyFont="1" applyFill="1" applyBorder="1"/>
    <xf numFmtId="10" fontId="7" fillId="0" borderId="5" xfId="6" applyNumberFormat="1" applyFont="1" applyFill="1" applyBorder="1"/>
    <xf numFmtId="187" fontId="2" fillId="0" borderId="0" xfId="1" applyFont="1" applyFill="1" applyBorder="1"/>
    <xf numFmtId="10" fontId="9" fillId="3" borderId="1" xfId="6" applyNumberFormat="1" applyFont="1" applyFill="1" applyBorder="1"/>
    <xf numFmtId="0" fontId="11" fillId="3" borderId="0" xfId="0" applyFont="1" applyFill="1"/>
    <xf numFmtId="0" fontId="0" fillId="3" borderId="0" xfId="0" applyFill="1"/>
    <xf numFmtId="188" fontId="3" fillId="2" borderId="1" xfId="1" applyNumberFormat="1" applyFont="1" applyFill="1" applyBorder="1" applyAlignment="1">
      <alignment horizontal="center"/>
    </xf>
    <xf numFmtId="188" fontId="2" fillId="3" borderId="2" xfId="1" applyNumberFormat="1" applyFont="1" applyFill="1" applyBorder="1" applyAlignment="1">
      <alignment horizontal="center"/>
    </xf>
    <xf numFmtId="188" fontId="2" fillId="3" borderId="9" xfId="1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3" fillId="2" borderId="2" xfId="7" applyNumberFormat="1" applyFont="1" applyFill="1" applyBorder="1" applyAlignment="1">
      <alignment horizontal="center"/>
    </xf>
    <xf numFmtId="0" fontId="3" fillId="2" borderId="4" xfId="7" applyNumberFormat="1" applyFont="1" applyFill="1" applyBorder="1" applyAlignment="1">
      <alignment horizontal="center"/>
    </xf>
    <xf numFmtId="0" fontId="3" fillId="2" borderId="9" xfId="7" applyNumberFormat="1" applyFont="1" applyFill="1" applyBorder="1" applyAlignment="1">
      <alignment horizontal="center"/>
    </xf>
    <xf numFmtId="0" fontId="14" fillId="0" borderId="0" xfId="0" applyFont="1"/>
  </cellXfs>
  <cellStyles count="8">
    <cellStyle name="Comma" xfId="7" builtinId="3"/>
    <cellStyle name="Comma 2" xfId="1" xr:uid="{00000000-0005-0000-0000-000000000000}"/>
    <cellStyle name="Currency 2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Percent" xfId="6" builtinId="5"/>
    <cellStyle name="Percent 2" xfId="2" xr:uid="{00000000-0005-0000-0000-000006000000}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zoomScale="120" zoomScaleNormal="120" workbookViewId="0">
      <pane ySplit="2" topLeftCell="A3" activePane="bottomLeft" state="frozen"/>
      <selection pane="bottomLeft" activeCell="C9" sqref="C9"/>
    </sheetView>
  </sheetViews>
  <sheetFormatPr defaultColWidth="10.625" defaultRowHeight="15" x14ac:dyDescent="0.2"/>
  <cols>
    <col min="1" max="1" width="5.5" style="1" bestFit="1" customWidth="1"/>
    <col min="2" max="2" width="14.625" style="1" bestFit="1" customWidth="1"/>
    <col min="3" max="3" width="19.75" style="2" bestFit="1" customWidth="1"/>
    <col min="4" max="4" width="9.5" style="1" bestFit="1" customWidth="1"/>
    <col min="5" max="5" width="4.875" style="1" customWidth="1"/>
    <col min="6" max="6" width="50.875" style="1" bestFit="1" customWidth="1"/>
    <col min="7" max="7" width="12.25" style="1" bestFit="1" customWidth="1"/>
    <col min="8" max="8" width="11.875" style="1" bestFit="1" customWidth="1"/>
    <col min="9" max="16384" width="10.625" style="1"/>
  </cols>
  <sheetData>
    <row r="1" spans="1:8" s="57" customFormat="1" x14ac:dyDescent="0.2">
      <c r="A1" s="57" t="s">
        <v>84</v>
      </c>
      <c r="B1" s="57" t="s">
        <v>85</v>
      </c>
      <c r="C1" s="58" t="s">
        <v>86</v>
      </c>
      <c r="D1" s="57" t="s">
        <v>87</v>
      </c>
    </row>
    <row r="2" spans="1:8" x14ac:dyDescent="0.2">
      <c r="A2" s="61" t="s">
        <v>9</v>
      </c>
      <c r="B2" s="61" t="s">
        <v>8</v>
      </c>
      <c r="C2" s="8" t="s">
        <v>7</v>
      </c>
      <c r="D2" s="61" t="s">
        <v>6</v>
      </c>
      <c r="E2" s="7"/>
    </row>
    <row r="3" spans="1:8" s="3" customFormat="1" ht="17.25" x14ac:dyDescent="0.3">
      <c r="A3" s="3">
        <v>1</v>
      </c>
      <c r="B3" s="3">
        <f>+G8+(G9*12)</f>
        <v>0</v>
      </c>
      <c r="C3" s="4" t="str">
        <f t="shared" ref="C3:C42" si="0">$G$10</f>
        <v>ไม่ต้องกรอก</v>
      </c>
      <c r="D3" s="3" t="e">
        <f>(B3)*(1+C3)</f>
        <v>#VALUE!</v>
      </c>
      <c r="E3" s="4"/>
      <c r="F3" s="6" t="s">
        <v>97</v>
      </c>
      <c r="G3" s="6"/>
    </row>
    <row r="4" spans="1:8" s="3" customFormat="1" ht="17.25" x14ac:dyDescent="0.3">
      <c r="A4" s="3">
        <v>2</v>
      </c>
      <c r="B4" s="3">
        <f>+G9*12</f>
        <v>0</v>
      </c>
      <c r="C4" s="4" t="str">
        <f t="shared" si="0"/>
        <v>ไม่ต้องกรอก</v>
      </c>
      <c r="D4" s="3" t="e">
        <f>(D3+$B4)*(1+$C4)</f>
        <v>#VALUE!</v>
      </c>
      <c r="E4" s="4"/>
      <c r="F4" s="6" t="s">
        <v>4</v>
      </c>
      <c r="G4" s="6"/>
    </row>
    <row r="5" spans="1:8" s="3" customFormat="1" ht="17.25" x14ac:dyDescent="0.3">
      <c r="A5" s="3">
        <v>3</v>
      </c>
      <c r="B5" s="3">
        <f t="shared" ref="B5:B42" si="1">+B4</f>
        <v>0</v>
      </c>
      <c r="C5" s="4" t="str">
        <f t="shared" si="0"/>
        <v>ไม่ต้องกรอก</v>
      </c>
      <c r="D5" s="3" t="e">
        <f t="shared" ref="D5:D42" si="2">(D4+$B5)*(1+$C5)</f>
        <v>#VALUE!</v>
      </c>
      <c r="E5" s="4"/>
      <c r="F5" s="6" t="s">
        <v>3</v>
      </c>
      <c r="G5" s="6"/>
    </row>
    <row r="6" spans="1:8" ht="17.25" x14ac:dyDescent="0.3">
      <c r="A6" s="3">
        <v>4</v>
      </c>
      <c r="B6" s="3">
        <f t="shared" si="1"/>
        <v>0</v>
      </c>
      <c r="C6" s="4" t="str">
        <f t="shared" si="0"/>
        <v>ไม่ต้องกรอก</v>
      </c>
      <c r="D6" s="3" t="e">
        <f t="shared" si="2"/>
        <v>#VALUE!</v>
      </c>
      <c r="F6" s="99" t="s">
        <v>98</v>
      </c>
      <c r="G6" s="99">
        <f>+G5-G4</f>
        <v>0</v>
      </c>
    </row>
    <row r="7" spans="1:8" ht="17.25" x14ac:dyDescent="0.3">
      <c r="A7" s="3">
        <v>5</v>
      </c>
      <c r="B7" s="3">
        <f t="shared" si="1"/>
        <v>0</v>
      </c>
      <c r="C7" s="4" t="str">
        <f t="shared" si="0"/>
        <v>ไม่ต้องกรอก</v>
      </c>
      <c r="D7" s="3" t="e">
        <f t="shared" si="2"/>
        <v>#VALUE!</v>
      </c>
      <c r="F7" s="100" t="s">
        <v>99</v>
      </c>
      <c r="G7" s="100">
        <f>G3*(1.02^G6)</f>
        <v>0</v>
      </c>
    </row>
    <row r="8" spans="1:8" ht="17.25" x14ac:dyDescent="0.3">
      <c r="A8" s="3">
        <v>6</v>
      </c>
      <c r="B8" s="3">
        <f t="shared" si="1"/>
        <v>0</v>
      </c>
      <c r="C8" s="4" t="str">
        <f t="shared" si="0"/>
        <v>ไม่ต้องกรอก</v>
      </c>
      <c r="D8" s="3" t="e">
        <f t="shared" si="2"/>
        <v>#VALUE!</v>
      </c>
      <c r="F8" s="6" t="s">
        <v>100</v>
      </c>
      <c r="G8" s="6"/>
    </row>
    <row r="9" spans="1:8" ht="17.25" x14ac:dyDescent="0.3">
      <c r="A9" s="3">
        <v>7</v>
      </c>
      <c r="B9" s="3">
        <f t="shared" si="1"/>
        <v>0</v>
      </c>
      <c r="C9" s="4" t="str">
        <f t="shared" si="0"/>
        <v>ไม่ต้องกรอก</v>
      </c>
      <c r="D9" s="3" t="e">
        <f t="shared" si="2"/>
        <v>#VALUE!</v>
      </c>
      <c r="F9" s="6" t="s">
        <v>70</v>
      </c>
      <c r="G9" s="6"/>
    </row>
    <row r="10" spans="1:8" ht="17.25" x14ac:dyDescent="0.3">
      <c r="A10" s="29">
        <v>8</v>
      </c>
      <c r="B10" s="29">
        <f t="shared" si="1"/>
        <v>0</v>
      </c>
      <c r="C10" s="28" t="str">
        <f t="shared" si="0"/>
        <v>ไม่ต้องกรอก</v>
      </c>
      <c r="D10" s="29" t="e">
        <f t="shared" si="2"/>
        <v>#VALUE!</v>
      </c>
      <c r="F10" s="101" t="s">
        <v>73</v>
      </c>
      <c r="G10" s="102" t="str">
        <f>IFERROR(RATE(G6,-(G9*12),-G8,G13),"ไม่ต้องกรอก")</f>
        <v>ไม่ต้องกรอก</v>
      </c>
      <c r="H10" s="103"/>
    </row>
    <row r="11" spans="1:8" ht="17.25" x14ac:dyDescent="0.3">
      <c r="A11" s="3">
        <v>9</v>
      </c>
      <c r="B11" s="3">
        <f t="shared" si="1"/>
        <v>0</v>
      </c>
      <c r="C11" s="4" t="str">
        <f t="shared" si="0"/>
        <v>ไม่ต้องกรอก</v>
      </c>
      <c r="D11" s="3" t="e">
        <f t="shared" si="2"/>
        <v>#VALUE!</v>
      </c>
      <c r="F11" s="12" t="s">
        <v>2</v>
      </c>
      <c r="G11" s="12">
        <f>G7*12</f>
        <v>0</v>
      </c>
    </row>
    <row r="12" spans="1:8" ht="17.25" x14ac:dyDescent="0.3">
      <c r="A12" s="29">
        <v>10</v>
      </c>
      <c r="B12" s="29">
        <f t="shared" si="1"/>
        <v>0</v>
      </c>
      <c r="C12" s="28" t="str">
        <f t="shared" si="0"/>
        <v>ไม่ต้องกรอก</v>
      </c>
      <c r="D12" s="29" t="e">
        <f t="shared" si="2"/>
        <v>#VALUE!</v>
      </c>
      <c r="F12" s="12" t="s">
        <v>1</v>
      </c>
      <c r="G12" s="104">
        <v>0.05</v>
      </c>
    </row>
    <row r="13" spans="1:8" ht="17.25" x14ac:dyDescent="0.3">
      <c r="A13" s="3">
        <v>11</v>
      </c>
      <c r="B13" s="3">
        <f t="shared" si="1"/>
        <v>0</v>
      </c>
      <c r="C13" s="4" t="str">
        <f t="shared" si="0"/>
        <v>ไม่ต้องกรอก</v>
      </c>
      <c r="D13" s="3" t="e">
        <f t="shared" si="2"/>
        <v>#VALUE!</v>
      </c>
      <c r="F13" s="98" t="s">
        <v>101</v>
      </c>
      <c r="G13" s="98">
        <f>G11/G12</f>
        <v>0</v>
      </c>
    </row>
    <row r="14" spans="1:8" ht="17.25" x14ac:dyDescent="0.3">
      <c r="A14" s="29">
        <v>12</v>
      </c>
      <c r="B14" s="29">
        <f t="shared" si="1"/>
        <v>0</v>
      </c>
      <c r="C14" s="28" t="str">
        <f t="shared" si="0"/>
        <v>ไม่ต้องกรอก</v>
      </c>
      <c r="D14" s="5" t="e">
        <f t="shared" si="2"/>
        <v>#VALUE!</v>
      </c>
    </row>
    <row r="15" spans="1:8" ht="17.25" x14ac:dyDescent="0.3">
      <c r="A15" s="3">
        <v>13</v>
      </c>
      <c r="B15" s="3">
        <f t="shared" si="1"/>
        <v>0</v>
      </c>
      <c r="C15" s="4" t="str">
        <f t="shared" si="0"/>
        <v>ไม่ต้องกรอก</v>
      </c>
      <c r="D15" s="3" t="e">
        <f t="shared" si="2"/>
        <v>#VALUE!</v>
      </c>
      <c r="F15" s="116" t="s">
        <v>74</v>
      </c>
      <c r="G15" s="116"/>
      <c r="H15" s="98" t="s">
        <v>102</v>
      </c>
    </row>
    <row r="16" spans="1:8" ht="17.25" x14ac:dyDescent="0.3">
      <c r="A16" s="3">
        <v>14</v>
      </c>
      <c r="B16" s="3">
        <f t="shared" si="1"/>
        <v>0</v>
      </c>
      <c r="C16" s="4" t="str">
        <f t="shared" si="0"/>
        <v>ไม่ต้องกรอก</v>
      </c>
      <c r="D16" s="3" t="e">
        <f t="shared" si="2"/>
        <v>#VALUE!</v>
      </c>
      <c r="F16" s="55" t="s">
        <v>75</v>
      </c>
      <c r="G16" s="56"/>
      <c r="H16" s="105">
        <f>+G16*8%</f>
        <v>0</v>
      </c>
    </row>
    <row r="17" spans="1:8" ht="17.25" x14ac:dyDescent="0.3">
      <c r="A17" s="29">
        <v>15</v>
      </c>
      <c r="B17" s="29">
        <f t="shared" si="1"/>
        <v>0</v>
      </c>
      <c r="C17" s="28" t="str">
        <f t="shared" si="0"/>
        <v>ไม่ต้องกรอก</v>
      </c>
      <c r="D17" s="5" t="e">
        <f t="shared" si="2"/>
        <v>#VALUE!</v>
      </c>
      <c r="F17" s="55" t="s">
        <v>76</v>
      </c>
      <c r="G17" s="56"/>
      <c r="H17" s="105">
        <f>+G17*15%</f>
        <v>0</v>
      </c>
    </row>
    <row r="18" spans="1:8" ht="17.25" x14ac:dyDescent="0.3">
      <c r="A18" s="3">
        <v>16</v>
      </c>
      <c r="B18" s="3">
        <f t="shared" si="1"/>
        <v>0</v>
      </c>
      <c r="C18" s="4" t="str">
        <f t="shared" si="0"/>
        <v>ไม่ต้องกรอก</v>
      </c>
      <c r="D18" s="5" t="e">
        <f t="shared" si="2"/>
        <v>#VALUE!</v>
      </c>
      <c r="F18" s="55" t="s">
        <v>77</v>
      </c>
      <c r="G18" s="56"/>
      <c r="H18" s="105">
        <f>+G18*20%</f>
        <v>0</v>
      </c>
    </row>
    <row r="19" spans="1:8" ht="17.25" x14ac:dyDescent="0.3">
      <c r="A19" s="3">
        <v>17</v>
      </c>
      <c r="B19" s="3">
        <f t="shared" si="1"/>
        <v>0</v>
      </c>
      <c r="C19" s="4" t="str">
        <f t="shared" si="0"/>
        <v>ไม่ต้องกรอก</v>
      </c>
      <c r="D19" s="5" t="e">
        <f t="shared" si="2"/>
        <v>#VALUE!</v>
      </c>
      <c r="F19" s="55" t="s">
        <v>78</v>
      </c>
      <c r="G19" s="56"/>
      <c r="H19" s="105">
        <f>+G19*20%</f>
        <v>0</v>
      </c>
    </row>
    <row r="20" spans="1:8" ht="17.25" x14ac:dyDescent="0.3">
      <c r="A20" s="3">
        <v>18</v>
      </c>
      <c r="B20" s="3">
        <f t="shared" si="1"/>
        <v>0</v>
      </c>
      <c r="C20" s="4" t="str">
        <f t="shared" si="0"/>
        <v>ไม่ต้องกรอก</v>
      </c>
      <c r="D20" s="3" t="e">
        <f t="shared" si="2"/>
        <v>#VALUE!</v>
      </c>
      <c r="F20" s="55" t="s">
        <v>79</v>
      </c>
      <c r="G20" s="56"/>
      <c r="H20" s="105">
        <f>+G20*20%</f>
        <v>0</v>
      </c>
    </row>
    <row r="21" spans="1:8" ht="17.25" x14ac:dyDescent="0.3">
      <c r="A21" s="29">
        <v>19</v>
      </c>
      <c r="B21" s="29">
        <f t="shared" si="1"/>
        <v>0</v>
      </c>
      <c r="C21" s="28" t="str">
        <f t="shared" si="0"/>
        <v>ไม่ต้องกรอก</v>
      </c>
      <c r="D21" s="5" t="e">
        <f t="shared" si="2"/>
        <v>#VALUE!</v>
      </c>
      <c r="F21" s="55" t="s">
        <v>80</v>
      </c>
      <c r="G21" s="56"/>
      <c r="H21" s="105">
        <f>+G21*20%</f>
        <v>0</v>
      </c>
    </row>
    <row r="22" spans="1:8" ht="17.25" x14ac:dyDescent="0.3">
      <c r="A22" s="29">
        <v>20</v>
      </c>
      <c r="B22" s="29">
        <f t="shared" si="1"/>
        <v>0</v>
      </c>
      <c r="C22" s="28" t="str">
        <f t="shared" si="0"/>
        <v>ไม่ต้องกรอก</v>
      </c>
      <c r="D22" s="29" t="e">
        <f t="shared" si="2"/>
        <v>#VALUE!</v>
      </c>
      <c r="F22" s="12" t="s">
        <v>81</v>
      </c>
      <c r="G22" s="54">
        <f>SUM(G16:G21)</f>
        <v>0</v>
      </c>
      <c r="H22" s="105">
        <f>SUM(H16:H21)</f>
        <v>0</v>
      </c>
    </row>
    <row r="23" spans="1:8" ht="17.25" x14ac:dyDescent="0.3">
      <c r="A23" s="3">
        <v>21</v>
      </c>
      <c r="B23" s="3">
        <f t="shared" si="1"/>
        <v>0</v>
      </c>
      <c r="C23" s="4" t="str">
        <f t="shared" si="0"/>
        <v>ไม่ต้องกรอก</v>
      </c>
      <c r="D23" s="3" t="e">
        <f t="shared" si="2"/>
        <v>#VALUE!</v>
      </c>
    </row>
    <row r="24" spans="1:8" ht="17.25" x14ac:dyDescent="0.3">
      <c r="A24" s="3">
        <v>22</v>
      </c>
      <c r="B24" s="3">
        <f t="shared" si="1"/>
        <v>0</v>
      </c>
      <c r="C24" s="4" t="str">
        <f t="shared" si="0"/>
        <v>ไม่ต้องกรอก</v>
      </c>
      <c r="D24" s="3" t="e">
        <f t="shared" si="2"/>
        <v>#VALUE!</v>
      </c>
      <c r="F24" s="61" t="s">
        <v>82</v>
      </c>
      <c r="G24" s="61" t="s">
        <v>83</v>
      </c>
    </row>
    <row r="25" spans="1:8" ht="17.25" x14ac:dyDescent="0.3">
      <c r="A25" s="3">
        <v>23</v>
      </c>
      <c r="B25" s="3">
        <f t="shared" si="1"/>
        <v>0</v>
      </c>
      <c r="C25" s="4" t="str">
        <f t="shared" si="0"/>
        <v>ไม่ต้องกรอก</v>
      </c>
      <c r="D25" s="3" t="e">
        <f t="shared" si="2"/>
        <v>#VALUE!</v>
      </c>
      <c r="F25" s="6"/>
      <c r="G25" s="6"/>
    </row>
    <row r="26" spans="1:8" ht="17.25" x14ac:dyDescent="0.3">
      <c r="A26" s="3">
        <v>24</v>
      </c>
      <c r="B26" s="3">
        <f t="shared" si="1"/>
        <v>0</v>
      </c>
      <c r="C26" s="4" t="str">
        <f t="shared" si="0"/>
        <v>ไม่ต้องกรอก</v>
      </c>
      <c r="D26" s="3" t="e">
        <f t="shared" si="2"/>
        <v>#VALUE!</v>
      </c>
      <c r="F26" s="6"/>
      <c r="G26" s="6"/>
    </row>
    <row r="27" spans="1:8" ht="17.25" x14ac:dyDescent="0.3">
      <c r="A27" s="3">
        <v>25</v>
      </c>
      <c r="B27" s="3">
        <f t="shared" si="1"/>
        <v>0</v>
      </c>
      <c r="C27" s="4" t="str">
        <f t="shared" si="0"/>
        <v>ไม่ต้องกรอก</v>
      </c>
      <c r="D27" s="3" t="e">
        <f t="shared" si="2"/>
        <v>#VALUE!</v>
      </c>
      <c r="F27" s="6"/>
      <c r="G27" s="6"/>
    </row>
    <row r="28" spans="1:8" ht="17.25" x14ac:dyDescent="0.3">
      <c r="A28" s="3">
        <v>26</v>
      </c>
      <c r="B28" s="3">
        <f t="shared" si="1"/>
        <v>0</v>
      </c>
      <c r="C28" s="4" t="str">
        <f t="shared" si="0"/>
        <v>ไม่ต้องกรอก</v>
      </c>
      <c r="D28" s="3" t="e">
        <f t="shared" si="2"/>
        <v>#VALUE!</v>
      </c>
      <c r="F28" s="6"/>
      <c r="G28" s="6"/>
    </row>
    <row r="29" spans="1:8" ht="17.25" x14ac:dyDescent="0.3">
      <c r="A29" s="3">
        <v>27</v>
      </c>
      <c r="B29" s="3">
        <f t="shared" si="1"/>
        <v>0</v>
      </c>
      <c r="C29" s="4" t="str">
        <f t="shared" si="0"/>
        <v>ไม่ต้องกรอก</v>
      </c>
      <c r="D29" s="3" t="e">
        <f t="shared" si="2"/>
        <v>#VALUE!</v>
      </c>
      <c r="F29" s="6"/>
      <c r="G29" s="6"/>
    </row>
    <row r="30" spans="1:8" ht="17.25" x14ac:dyDescent="0.3">
      <c r="A30" s="3">
        <v>28</v>
      </c>
      <c r="B30" s="3">
        <f t="shared" si="1"/>
        <v>0</v>
      </c>
      <c r="C30" s="4" t="str">
        <f t="shared" si="0"/>
        <v>ไม่ต้องกรอก</v>
      </c>
      <c r="D30" s="3" t="e">
        <f t="shared" si="2"/>
        <v>#VALUE!</v>
      </c>
      <c r="F30" s="6"/>
      <c r="G30" s="6"/>
    </row>
    <row r="31" spans="1:8" ht="17.25" x14ac:dyDescent="0.3">
      <c r="A31" s="3">
        <v>29</v>
      </c>
      <c r="B31" s="3">
        <f t="shared" si="1"/>
        <v>0</v>
      </c>
      <c r="C31" s="4" t="str">
        <f t="shared" si="0"/>
        <v>ไม่ต้องกรอก</v>
      </c>
      <c r="D31" s="3" t="e">
        <f t="shared" si="2"/>
        <v>#VALUE!</v>
      </c>
      <c r="F31" s="6"/>
      <c r="G31" s="6"/>
    </row>
    <row r="32" spans="1:8" ht="17.25" x14ac:dyDescent="0.3">
      <c r="A32" s="3">
        <v>30</v>
      </c>
      <c r="B32" s="3">
        <f t="shared" si="1"/>
        <v>0</v>
      </c>
      <c r="C32" s="4" t="str">
        <f t="shared" si="0"/>
        <v>ไม่ต้องกรอก</v>
      </c>
      <c r="D32" s="3" t="e">
        <f t="shared" si="2"/>
        <v>#VALUE!</v>
      </c>
      <c r="F32" s="6"/>
      <c r="G32" s="6"/>
    </row>
    <row r="33" spans="1:7" ht="17.25" x14ac:dyDescent="0.3">
      <c r="A33" s="3">
        <v>31</v>
      </c>
      <c r="B33" s="3">
        <f t="shared" si="1"/>
        <v>0</v>
      </c>
      <c r="C33" s="4" t="str">
        <f t="shared" si="0"/>
        <v>ไม่ต้องกรอก</v>
      </c>
      <c r="D33" s="3" t="e">
        <f t="shared" si="2"/>
        <v>#VALUE!</v>
      </c>
      <c r="F33" s="6"/>
      <c r="G33" s="6"/>
    </row>
    <row r="34" spans="1:7" ht="17.25" x14ac:dyDescent="0.3">
      <c r="A34" s="3">
        <v>32</v>
      </c>
      <c r="B34" s="3">
        <f t="shared" si="1"/>
        <v>0</v>
      </c>
      <c r="C34" s="4" t="str">
        <f t="shared" si="0"/>
        <v>ไม่ต้องกรอก</v>
      </c>
      <c r="D34" s="3" t="e">
        <f t="shared" si="2"/>
        <v>#VALUE!</v>
      </c>
      <c r="F34" s="6"/>
      <c r="G34" s="6"/>
    </row>
    <row r="35" spans="1:7" ht="17.25" x14ac:dyDescent="0.3">
      <c r="A35" s="3">
        <v>33</v>
      </c>
      <c r="B35" s="3">
        <f t="shared" si="1"/>
        <v>0</v>
      </c>
      <c r="C35" s="4" t="str">
        <f t="shared" si="0"/>
        <v>ไม่ต้องกรอก</v>
      </c>
      <c r="D35" s="3" t="e">
        <f t="shared" si="2"/>
        <v>#VALUE!</v>
      </c>
      <c r="F35" s="6"/>
      <c r="G35" s="6"/>
    </row>
    <row r="36" spans="1:7" ht="17.25" x14ac:dyDescent="0.3">
      <c r="A36" s="3">
        <v>34</v>
      </c>
      <c r="B36" s="3">
        <f t="shared" si="1"/>
        <v>0</v>
      </c>
      <c r="C36" s="4" t="str">
        <f t="shared" si="0"/>
        <v>ไม่ต้องกรอก</v>
      </c>
      <c r="D36" s="3" t="e">
        <f t="shared" si="2"/>
        <v>#VALUE!</v>
      </c>
      <c r="F36" s="6"/>
      <c r="G36" s="6"/>
    </row>
    <row r="37" spans="1:7" ht="17.25" x14ac:dyDescent="0.3">
      <c r="A37" s="3">
        <v>35</v>
      </c>
      <c r="B37" s="3">
        <f t="shared" si="1"/>
        <v>0</v>
      </c>
      <c r="C37" s="4" t="str">
        <f t="shared" si="0"/>
        <v>ไม่ต้องกรอก</v>
      </c>
      <c r="D37" s="3" t="e">
        <f t="shared" si="2"/>
        <v>#VALUE!</v>
      </c>
      <c r="F37" s="6"/>
      <c r="G37" s="6"/>
    </row>
    <row r="38" spans="1:7" ht="17.25" x14ac:dyDescent="0.3">
      <c r="A38" s="3">
        <v>36</v>
      </c>
      <c r="B38" s="3">
        <f t="shared" si="1"/>
        <v>0</v>
      </c>
      <c r="C38" s="4" t="str">
        <f t="shared" si="0"/>
        <v>ไม่ต้องกรอก</v>
      </c>
      <c r="D38" s="3" t="e">
        <f t="shared" si="2"/>
        <v>#VALUE!</v>
      </c>
    </row>
    <row r="39" spans="1:7" ht="17.25" x14ac:dyDescent="0.3">
      <c r="A39" s="3">
        <v>37</v>
      </c>
      <c r="B39" s="3">
        <f t="shared" si="1"/>
        <v>0</v>
      </c>
      <c r="C39" s="4" t="str">
        <f t="shared" si="0"/>
        <v>ไม่ต้องกรอก</v>
      </c>
      <c r="D39" s="3" t="e">
        <f t="shared" si="2"/>
        <v>#VALUE!</v>
      </c>
      <c r="F39" s="117" t="s">
        <v>90</v>
      </c>
      <c r="G39" s="118"/>
    </row>
    <row r="40" spans="1:7" ht="17.25" x14ac:dyDescent="0.3">
      <c r="A40" s="3">
        <v>38</v>
      </c>
      <c r="B40" s="3">
        <f t="shared" si="1"/>
        <v>0</v>
      </c>
      <c r="C40" s="4" t="str">
        <f t="shared" si="0"/>
        <v>ไม่ต้องกรอก</v>
      </c>
      <c r="D40" s="3" t="e">
        <f t="shared" si="2"/>
        <v>#VALUE!</v>
      </c>
    </row>
    <row r="41" spans="1:7" ht="17.25" x14ac:dyDescent="0.3">
      <c r="A41" s="3">
        <v>39</v>
      </c>
      <c r="B41" s="3">
        <f t="shared" si="1"/>
        <v>0</v>
      </c>
      <c r="C41" s="4" t="str">
        <f t="shared" si="0"/>
        <v>ไม่ต้องกรอก</v>
      </c>
      <c r="D41" s="3" t="e">
        <f t="shared" si="2"/>
        <v>#VALUE!</v>
      </c>
    </row>
    <row r="42" spans="1:7" ht="17.25" x14ac:dyDescent="0.3">
      <c r="A42" s="3">
        <v>40</v>
      </c>
      <c r="B42" s="3">
        <f t="shared" si="1"/>
        <v>0</v>
      </c>
      <c r="C42" s="4" t="str">
        <f t="shared" si="0"/>
        <v>ไม่ต้องกรอก</v>
      </c>
      <c r="D42" s="3" t="e">
        <f t="shared" si="2"/>
        <v>#VALUE!</v>
      </c>
    </row>
  </sheetData>
  <mergeCells count="2">
    <mergeCell ref="F15:G15"/>
    <mergeCell ref="F39:G39"/>
  </mergeCells>
  <conditionalFormatting sqref="B1:B1048576 E2:E5">
    <cfRule type="cellIs" dxfId="52" priority="1" operator="lessThan">
      <formula>0</formula>
    </cfRule>
  </conditionalFormatting>
  <pageMargins left="0.75" right="0.75" top="1" bottom="1" header="0.5" footer="0.5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zoomScale="150" zoomScaleNormal="150" workbookViewId="0">
      <selection activeCell="C3" sqref="C3"/>
    </sheetView>
  </sheetViews>
  <sheetFormatPr defaultRowHeight="16.5" x14ac:dyDescent="0.3"/>
  <cols>
    <col min="1" max="1" width="5.625" bestFit="1" customWidth="1"/>
    <col min="2" max="3" width="11.5" bestFit="1" customWidth="1"/>
    <col min="4" max="4" width="5.375" customWidth="1"/>
    <col min="5" max="5" width="11.5" bestFit="1" customWidth="1"/>
    <col min="6" max="16" width="10.625" customWidth="1"/>
  </cols>
  <sheetData>
    <row r="1" spans="1:16" s="47" customFormat="1" x14ac:dyDescent="0.3">
      <c r="A1" s="47" t="s">
        <v>66</v>
      </c>
      <c r="B1" s="47" t="s">
        <v>71</v>
      </c>
      <c r="C1" s="47" t="s">
        <v>72</v>
      </c>
    </row>
    <row r="2" spans="1:16" x14ac:dyDescent="0.3">
      <c r="A2" s="9" t="s">
        <v>10</v>
      </c>
      <c r="B2" s="10" t="s">
        <v>43</v>
      </c>
      <c r="C2" s="10" t="s">
        <v>11</v>
      </c>
      <c r="D2" s="10"/>
      <c r="E2" s="10" t="s">
        <v>12</v>
      </c>
      <c r="F2" s="10" t="s">
        <v>13</v>
      </c>
      <c r="G2" s="10" t="s">
        <v>14</v>
      </c>
      <c r="H2" s="10" t="s">
        <v>15</v>
      </c>
      <c r="I2" s="10" t="s">
        <v>16</v>
      </c>
      <c r="J2" s="10" t="s">
        <v>17</v>
      </c>
      <c r="K2" s="10" t="s">
        <v>18</v>
      </c>
      <c r="L2" s="10" t="s">
        <v>19</v>
      </c>
      <c r="M2" s="10" t="s">
        <v>20</v>
      </c>
      <c r="N2" s="10" t="s">
        <v>21</v>
      </c>
      <c r="O2" s="10" t="s">
        <v>22</v>
      </c>
      <c r="P2" s="10" t="s">
        <v>23</v>
      </c>
    </row>
    <row r="3" spans="1:16" ht="17.25" x14ac:dyDescent="0.3">
      <c r="A3" s="11">
        <v>2021</v>
      </c>
      <c r="B3" s="12">
        <f>SUM(E3:P3)</f>
        <v>1250000</v>
      </c>
      <c r="C3" s="12">
        <f>+B3</f>
        <v>1250000</v>
      </c>
      <c r="D3" s="13"/>
      <c r="E3" s="6">
        <v>1000000</v>
      </c>
      <c r="F3" s="6">
        <v>50000</v>
      </c>
      <c r="G3" s="6">
        <v>50000</v>
      </c>
      <c r="H3" s="6">
        <v>50000</v>
      </c>
      <c r="I3" s="6">
        <v>50000</v>
      </c>
      <c r="J3" s="6">
        <v>50000</v>
      </c>
      <c r="K3" s="6"/>
      <c r="L3" s="6"/>
      <c r="M3" s="6"/>
      <c r="N3" s="6"/>
      <c r="O3" s="6"/>
      <c r="P3" s="6"/>
    </row>
    <row r="4" spans="1:16" ht="17.25" x14ac:dyDescent="0.3">
      <c r="A4" s="11">
        <v>2022</v>
      </c>
      <c r="B4" s="12">
        <f>SUM(E4:P4)</f>
        <v>-100000</v>
      </c>
      <c r="C4" s="12">
        <f>+C3+B4</f>
        <v>1150000</v>
      </c>
      <c r="D4" s="13"/>
      <c r="E4" s="6">
        <v>300000</v>
      </c>
      <c r="F4" s="6">
        <v>-400000</v>
      </c>
      <c r="G4" s="6"/>
      <c r="H4" s="6"/>
      <c r="I4" s="6"/>
      <c r="J4" s="6"/>
      <c r="K4" s="6"/>
      <c r="L4" s="6"/>
      <c r="M4" s="6"/>
      <c r="N4" s="6"/>
      <c r="O4" s="6"/>
      <c r="P4" s="6"/>
    </row>
  </sheetData>
  <conditionalFormatting sqref="A2:P3">
    <cfRule type="cellIs" dxfId="51" priority="3" operator="lessThan">
      <formula>0</formula>
    </cfRule>
  </conditionalFormatting>
  <conditionalFormatting sqref="A4:P4">
    <cfRule type="cellIs" dxfId="5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tabSelected="1" zoomScale="124" zoomScaleNormal="124" workbookViewId="0">
      <pane ySplit="2" topLeftCell="A3" activePane="bottomLeft" state="frozen"/>
      <selection activeCell="M4" sqref="M4"/>
      <selection pane="bottomLeft" activeCell="H29" sqref="H29"/>
    </sheetView>
  </sheetViews>
  <sheetFormatPr defaultRowHeight="14.25" x14ac:dyDescent="0.2"/>
  <cols>
    <col min="1" max="1" width="11.5" style="93" bestFit="1" customWidth="1"/>
    <col min="2" max="2" width="11.25" style="93" bestFit="1" customWidth="1"/>
    <col min="3" max="3" width="8.375" style="93" bestFit="1" customWidth="1"/>
    <col min="4" max="4" width="14.5" style="93" bestFit="1" customWidth="1"/>
    <col min="5" max="5" width="9.875" style="93" bestFit="1" customWidth="1"/>
    <col min="6" max="6" width="12.625" style="93" bestFit="1" customWidth="1"/>
    <col min="7" max="7" width="17.375" style="93" bestFit="1" customWidth="1"/>
    <col min="8" max="8" width="12.375" style="93" bestFit="1" customWidth="1"/>
    <col min="9" max="9" width="9.875" style="93" bestFit="1" customWidth="1"/>
    <col min="10" max="10" width="17.375" style="93" bestFit="1" customWidth="1"/>
    <col min="11" max="11" width="11.875" style="93" bestFit="1" customWidth="1"/>
    <col min="12" max="12" width="15.25" style="93" bestFit="1" customWidth="1"/>
    <col min="13" max="13" width="13.625" style="93" bestFit="1" customWidth="1"/>
    <col min="14" max="14" width="13.875" style="93" bestFit="1" customWidth="1"/>
    <col min="15" max="15" width="10.5" style="93" bestFit="1" customWidth="1"/>
    <col min="16" max="16" width="15.25" style="93" bestFit="1" customWidth="1"/>
    <col min="17" max="17" width="16" style="93" bestFit="1" customWidth="1"/>
    <col min="18" max="16384" width="9" style="93"/>
  </cols>
  <sheetData>
    <row r="1" spans="1:18" s="51" customFormat="1" x14ac:dyDescent="0.2">
      <c r="A1" s="48" t="s">
        <v>50</v>
      </c>
      <c r="B1" s="48" t="s">
        <v>51</v>
      </c>
      <c r="C1" s="48" t="s">
        <v>52</v>
      </c>
      <c r="D1" s="48" t="s">
        <v>53</v>
      </c>
      <c r="E1" s="48" t="s">
        <v>54</v>
      </c>
      <c r="F1" s="48" t="s">
        <v>55</v>
      </c>
      <c r="G1" s="48" t="s">
        <v>56</v>
      </c>
      <c r="H1" s="48" t="s">
        <v>57</v>
      </c>
      <c r="I1" s="48" t="s">
        <v>58</v>
      </c>
      <c r="J1" s="48" t="s">
        <v>59</v>
      </c>
      <c r="K1" s="48" t="s">
        <v>57</v>
      </c>
      <c r="L1" s="48" t="s">
        <v>60</v>
      </c>
      <c r="M1" s="48" t="s">
        <v>61</v>
      </c>
      <c r="N1" s="48" t="s">
        <v>62</v>
      </c>
      <c r="O1" s="48" t="s">
        <v>63</v>
      </c>
      <c r="P1" s="48" t="s">
        <v>64</v>
      </c>
      <c r="Q1" s="48" t="s">
        <v>65</v>
      </c>
    </row>
    <row r="2" spans="1:18" s="26" customFormat="1" ht="15" x14ac:dyDescent="0.2">
      <c r="A2" s="14" t="s">
        <v>24</v>
      </c>
      <c r="B2" s="14" t="s">
        <v>25</v>
      </c>
      <c r="C2" s="15" t="s">
        <v>26</v>
      </c>
      <c r="D2" s="8" t="s">
        <v>27</v>
      </c>
      <c r="E2" s="61" t="s">
        <v>28</v>
      </c>
      <c r="F2" s="16" t="s">
        <v>29</v>
      </c>
      <c r="G2" s="18" t="s">
        <v>31</v>
      </c>
      <c r="H2" s="18" t="s">
        <v>41</v>
      </c>
      <c r="I2" s="17" t="s">
        <v>30</v>
      </c>
      <c r="J2" s="17" t="s">
        <v>32</v>
      </c>
      <c r="K2" s="17" t="s">
        <v>42</v>
      </c>
      <c r="L2" s="19" t="s">
        <v>33</v>
      </c>
      <c r="M2" s="20" t="s">
        <v>34</v>
      </c>
      <c r="N2" s="21" t="s">
        <v>35</v>
      </c>
      <c r="O2" s="22" t="s">
        <v>36</v>
      </c>
      <c r="P2" s="23" t="s">
        <v>37</v>
      </c>
      <c r="Q2" s="24" t="s">
        <v>38</v>
      </c>
      <c r="R2" s="25"/>
    </row>
    <row r="3" spans="1:18" s="26" customFormat="1" ht="15" x14ac:dyDescent="0.2">
      <c r="A3" s="120">
        <v>2021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25"/>
    </row>
    <row r="4" spans="1:18" s="73" customFormat="1" ht="15" x14ac:dyDescent="0.2">
      <c r="A4" s="62">
        <v>44206</v>
      </c>
      <c r="B4" s="62">
        <v>44511</v>
      </c>
      <c r="C4" s="42" t="s">
        <v>103</v>
      </c>
      <c r="D4" s="63"/>
      <c r="E4" s="64">
        <v>300000</v>
      </c>
      <c r="F4" s="65">
        <v>1</v>
      </c>
      <c r="G4" s="65">
        <f>+F4*E4</f>
        <v>300000</v>
      </c>
      <c r="H4" s="65">
        <f>+G4*0.08%*1.07</f>
        <v>256.8</v>
      </c>
      <c r="I4" s="66">
        <v>2.1</v>
      </c>
      <c r="J4" s="66">
        <f>+I4*E4</f>
        <v>630000</v>
      </c>
      <c r="K4" s="66">
        <f>+J4*0.08%*1.07</f>
        <v>539.28000000000009</v>
      </c>
      <c r="L4" s="67">
        <f>+J4-G4-H4-K4</f>
        <v>329203.92</v>
      </c>
      <c r="M4" s="68">
        <f>+L4/(G4+H4+K4)</f>
        <v>1.0944421882093676</v>
      </c>
      <c r="N4" s="69">
        <v>10000</v>
      </c>
      <c r="O4" s="70">
        <f>+N4/(G4+H4+K4)</f>
        <v>3.3245114098561387E-2</v>
      </c>
      <c r="P4" s="46">
        <f>+N4+L4</f>
        <v>339203.92</v>
      </c>
      <c r="Q4" s="71">
        <f>P4/(G4+H4+K4)</f>
        <v>1.1276873023079288</v>
      </c>
      <c r="R4" s="72"/>
    </row>
    <row r="5" spans="1:18" s="73" customFormat="1" ht="15" x14ac:dyDescent="0.2">
      <c r="A5" s="74"/>
      <c r="B5" s="74"/>
      <c r="C5" s="75"/>
      <c r="D5" s="76"/>
      <c r="E5" s="106"/>
      <c r="F5" s="107"/>
      <c r="G5" s="107"/>
      <c r="H5" s="107"/>
      <c r="I5" s="107"/>
      <c r="J5" s="108"/>
      <c r="K5" s="107"/>
      <c r="L5" s="107"/>
      <c r="M5" s="109"/>
      <c r="N5" s="110"/>
      <c r="O5" s="111"/>
      <c r="P5" s="107"/>
      <c r="Q5" s="109"/>
      <c r="R5" s="112"/>
    </row>
    <row r="6" spans="1:18" s="73" customFormat="1" ht="15" x14ac:dyDescent="0.2">
      <c r="A6" s="62">
        <v>44206</v>
      </c>
      <c r="B6" s="62"/>
      <c r="C6" s="42" t="s">
        <v>88</v>
      </c>
      <c r="D6" s="63">
        <f>J6/J$11</f>
        <v>0.27645098650201061</v>
      </c>
      <c r="E6" s="64">
        <v>8500</v>
      </c>
      <c r="F6" s="65">
        <v>58</v>
      </c>
      <c r="G6" s="65">
        <f>+F6*E6</f>
        <v>493000</v>
      </c>
      <c r="H6" s="65">
        <f>+G6*0.08%*1.07</f>
        <v>422.00800000000004</v>
      </c>
      <c r="I6" s="66">
        <v>65</v>
      </c>
      <c r="J6" s="66">
        <f>+I6*E6</f>
        <v>552500</v>
      </c>
      <c r="K6" s="66"/>
      <c r="L6" s="67">
        <f>+J6-G6-H6-K6</f>
        <v>59077.991999999998</v>
      </c>
      <c r="M6" s="68">
        <f>+L6/(G6+H6+K6)</f>
        <v>0.11973116529492134</v>
      </c>
      <c r="N6" s="69">
        <v>11050</v>
      </c>
      <c r="O6" s="70">
        <f>+N6/(G6+H6+K6)</f>
        <v>2.2394623305898427E-2</v>
      </c>
      <c r="P6" s="46">
        <f>+N6+L6</f>
        <v>70127.991999999998</v>
      </c>
      <c r="Q6" s="71">
        <f>P6/(G6+H6+K6)</f>
        <v>0.14212578860081979</v>
      </c>
      <c r="R6" s="72"/>
    </row>
    <row r="7" spans="1:18" s="73" customFormat="1" ht="15" x14ac:dyDescent="0.2">
      <c r="A7" s="62">
        <v>44206</v>
      </c>
      <c r="B7" s="62"/>
      <c r="C7" s="42" t="s">
        <v>103</v>
      </c>
      <c r="D7" s="63">
        <f>J7/J$11</f>
        <v>0.68299655488732036</v>
      </c>
      <c r="E7" s="64">
        <f>300000+350000</f>
        <v>650000</v>
      </c>
      <c r="F7" s="65">
        <f>((1*300000)+(2.1*350000))/(300000+350000)</f>
        <v>1.5923076923076922</v>
      </c>
      <c r="G7" s="65">
        <f>+F7*E7</f>
        <v>1034999.9999999999</v>
      </c>
      <c r="H7" s="65">
        <f>+G7*0.08%*1.07</f>
        <v>885.96</v>
      </c>
      <c r="I7" s="66">
        <v>2.1</v>
      </c>
      <c r="J7" s="66">
        <f>+I7*E7</f>
        <v>1365000</v>
      </c>
      <c r="K7" s="66"/>
      <c r="L7" s="67">
        <f>+J7-G7-H7-K7</f>
        <v>329114.0400000001</v>
      </c>
      <c r="M7" s="68">
        <f>+L7/(G7+H7+K7)</f>
        <v>0.31771261770938586</v>
      </c>
      <c r="N7" s="69">
        <v>10000</v>
      </c>
      <c r="O7" s="70">
        <f>+N7/(G7+H7+K7)</f>
        <v>9.6535722909112526E-3</v>
      </c>
      <c r="P7" s="46">
        <f>+N7+L7</f>
        <v>339114.0400000001</v>
      </c>
      <c r="Q7" s="71">
        <f>P7/(G7+H7+K7)</f>
        <v>0.3273661900002971</v>
      </c>
      <c r="R7" s="72"/>
    </row>
    <row r="8" spans="1:18" s="73" customFormat="1" ht="15" x14ac:dyDescent="0.2">
      <c r="A8" s="74"/>
      <c r="B8" s="74"/>
      <c r="C8" s="75"/>
      <c r="D8" s="76"/>
      <c r="E8" s="77"/>
      <c r="F8" s="78"/>
      <c r="G8" s="78"/>
      <c r="H8" s="78"/>
      <c r="I8" s="78"/>
      <c r="J8" s="78"/>
      <c r="K8" s="78"/>
      <c r="L8" s="78"/>
      <c r="M8" s="79"/>
      <c r="N8" s="27"/>
      <c r="O8" s="80"/>
      <c r="P8" s="78"/>
      <c r="Q8" s="79"/>
      <c r="R8" s="81"/>
    </row>
    <row r="9" spans="1:18" s="73" customFormat="1" ht="15" x14ac:dyDescent="0.2">
      <c r="A9" s="62"/>
      <c r="B9" s="62"/>
      <c r="C9" s="42" t="s">
        <v>39</v>
      </c>
      <c r="D9" s="82"/>
      <c r="E9" s="64"/>
      <c r="F9" s="65"/>
      <c r="G9" s="65">
        <f>+G11</f>
        <v>1250000</v>
      </c>
      <c r="H9" s="65"/>
      <c r="I9" s="66"/>
      <c r="J9" s="66">
        <f>+G9-SUMIF(H4:H8,"&gt;0",G4:G8)-SUM(H4:H8)-SUM(K4:K8)+SUMIF(K4:K8,"&gt;0",J4:J8)+N11</f>
        <v>81045.951999999932</v>
      </c>
      <c r="K9" s="66"/>
      <c r="L9" s="67"/>
      <c r="M9" s="83"/>
      <c r="N9" s="69">
        <v>100</v>
      </c>
      <c r="O9" s="70">
        <f>+N9/(G9+H9+K9)</f>
        <v>8.0000000000000007E-5</v>
      </c>
      <c r="P9" s="46">
        <f>SUM(L9:N9)</f>
        <v>100</v>
      </c>
      <c r="Q9" s="84">
        <f t="shared" ref="Q9" si="0">P9/(G9+H9+K9)</f>
        <v>8.0000000000000007E-5</v>
      </c>
      <c r="R9" s="72"/>
    </row>
    <row r="10" spans="1:18" s="73" customFormat="1" ht="15" x14ac:dyDescent="0.2">
      <c r="A10" s="85"/>
      <c r="B10" s="85"/>
      <c r="D10" s="86"/>
      <c r="E10" s="87"/>
      <c r="F10" s="88"/>
      <c r="G10" s="88"/>
      <c r="H10" s="88"/>
      <c r="I10" s="88"/>
      <c r="J10" s="88"/>
      <c r="K10" s="88"/>
      <c r="L10" s="88"/>
      <c r="M10" s="89"/>
      <c r="N10" s="90"/>
      <c r="O10" s="91"/>
      <c r="P10" s="88"/>
      <c r="Q10" s="89"/>
      <c r="R10" s="92"/>
    </row>
    <row r="11" spans="1:18" s="41" customFormat="1" ht="15.75" customHeight="1" x14ac:dyDescent="0.25">
      <c r="A11" s="119"/>
      <c r="B11" s="119"/>
      <c r="C11" s="30" t="s">
        <v>40</v>
      </c>
      <c r="D11" s="31"/>
      <c r="E11" s="32"/>
      <c r="F11" s="33"/>
      <c r="G11" s="35">
        <f>+Deposit!C3</f>
        <v>1250000</v>
      </c>
      <c r="H11" s="35">
        <f>SUM(H4:H10)</f>
        <v>1564.768</v>
      </c>
      <c r="I11" s="34"/>
      <c r="J11" s="36">
        <f>SUM(J5:J10)</f>
        <v>1998545.952</v>
      </c>
      <c r="K11" s="36">
        <f>SUM(K4:K10)</f>
        <v>539.28000000000009</v>
      </c>
      <c r="L11" s="37">
        <f>SUM(L4:L10)</f>
        <v>717395.95200000005</v>
      </c>
      <c r="M11" s="60">
        <f>L11/(G11+H11+K11)</f>
        <v>0.5729523462094902</v>
      </c>
      <c r="N11" s="38">
        <f>SUM(N4:N10)</f>
        <v>31150</v>
      </c>
      <c r="O11" s="113">
        <f>N11/(G11+H11+K11)</f>
        <v>2.4878124186050073E-2</v>
      </c>
      <c r="P11" s="39">
        <f>SUM(P4:P10)</f>
        <v>748545.95200000005</v>
      </c>
      <c r="Q11" s="59">
        <f>P11/(G11+H11+K11)</f>
        <v>0.59783047039554027</v>
      </c>
      <c r="R11" s="40"/>
    </row>
    <row r="13" spans="1:18" s="26" customFormat="1" ht="15" x14ac:dyDescent="0.2">
      <c r="A13" s="120">
        <v>2022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R13" s="25"/>
    </row>
    <row r="14" spans="1:18" s="73" customFormat="1" ht="15" x14ac:dyDescent="0.2">
      <c r="A14" s="62"/>
      <c r="B14" s="62"/>
      <c r="C14" s="42"/>
      <c r="D14" s="63"/>
      <c r="E14" s="64"/>
      <c r="F14" s="65"/>
      <c r="G14" s="65"/>
      <c r="H14" s="65"/>
      <c r="I14" s="66"/>
      <c r="J14" s="66"/>
      <c r="K14" s="66"/>
      <c r="L14" s="67"/>
      <c r="M14" s="68"/>
      <c r="N14" s="69"/>
      <c r="O14" s="70"/>
      <c r="P14" s="46"/>
      <c r="Q14" s="71"/>
      <c r="R14" s="72"/>
    </row>
    <row r="15" spans="1:18" s="73" customFormat="1" ht="15" x14ac:dyDescent="0.2">
      <c r="A15" s="74"/>
      <c r="B15" s="74"/>
      <c r="C15" s="75"/>
      <c r="D15" s="76"/>
      <c r="E15" s="106"/>
      <c r="F15" s="107"/>
      <c r="G15" s="107"/>
      <c r="H15" s="107"/>
      <c r="I15" s="107"/>
      <c r="J15" s="108"/>
      <c r="K15" s="107"/>
      <c r="L15" s="107"/>
      <c r="M15" s="109"/>
      <c r="N15" s="110"/>
      <c r="O15" s="111"/>
      <c r="P15" s="107"/>
      <c r="Q15" s="109"/>
      <c r="R15" s="112"/>
    </row>
    <row r="16" spans="1:18" s="73" customFormat="1" ht="15" x14ac:dyDescent="0.2">
      <c r="A16" s="62">
        <v>44206</v>
      </c>
      <c r="B16" s="62"/>
      <c r="C16" s="42" t="s">
        <v>88</v>
      </c>
      <c r="D16" s="63">
        <f>J16/J$11</f>
        <v>0.2466793418017941</v>
      </c>
      <c r="E16" s="64">
        <v>8500</v>
      </c>
      <c r="F16" s="65">
        <v>65</v>
      </c>
      <c r="G16" s="65">
        <f>+F16*E16</f>
        <v>552500</v>
      </c>
      <c r="H16" s="65"/>
      <c r="I16" s="66">
        <v>58</v>
      </c>
      <c r="J16" s="66">
        <f>+I16*E16</f>
        <v>493000</v>
      </c>
      <c r="K16" s="66"/>
      <c r="L16" s="67">
        <f>+J16-G16-H16-K16</f>
        <v>-59500</v>
      </c>
      <c r="M16" s="68">
        <f>+L16/(G16+H16+K16)</f>
        <v>-0.1076923076923077</v>
      </c>
      <c r="N16" s="69">
        <v>10000</v>
      </c>
      <c r="O16" s="70">
        <f>+N16/(G16+H16+K16)</f>
        <v>1.8099547511312219E-2</v>
      </c>
      <c r="P16" s="46">
        <f>+N16+L16</f>
        <v>-49500</v>
      </c>
      <c r="Q16" s="71">
        <f>P16/(G16+H16+K16)</f>
        <v>-8.9592760180995476E-2</v>
      </c>
      <c r="R16" s="72"/>
    </row>
    <row r="17" spans="1:18" s="73" customFormat="1" ht="15" x14ac:dyDescent="0.2">
      <c r="A17" s="62">
        <v>44206</v>
      </c>
      <c r="B17" s="62"/>
      <c r="C17" s="42" t="s">
        <v>103</v>
      </c>
      <c r="D17" s="63">
        <f>J17/J$11</f>
        <v>0.74804384582896999</v>
      </c>
      <c r="E17" s="64">
        <f>300000+350000</f>
        <v>650000</v>
      </c>
      <c r="F17" s="65">
        <v>2.1</v>
      </c>
      <c r="G17" s="65">
        <f>+F17*E17</f>
        <v>1365000</v>
      </c>
      <c r="H17" s="65"/>
      <c r="I17" s="66">
        <v>2.2999999999999998</v>
      </c>
      <c r="J17" s="66">
        <f>+I17*E17</f>
        <v>1495000</v>
      </c>
      <c r="K17" s="66"/>
      <c r="L17" s="67">
        <f>+J17-G17-H17-K17</f>
        <v>130000</v>
      </c>
      <c r="M17" s="68">
        <f>+L17/(G17+H17+K17)</f>
        <v>9.5238095238095233E-2</v>
      </c>
      <c r="N17" s="69">
        <v>25000</v>
      </c>
      <c r="O17" s="70">
        <f>+N17/(G17+H17+K17)</f>
        <v>1.8315018315018316E-2</v>
      </c>
      <c r="P17" s="46">
        <f>+N17+L17</f>
        <v>155000</v>
      </c>
      <c r="Q17" s="71">
        <f>P17/(G17+H17+K17)</f>
        <v>0.11355311355311355</v>
      </c>
      <c r="R17" s="72"/>
    </row>
    <row r="18" spans="1:18" s="73" customFormat="1" ht="15" x14ac:dyDescent="0.2">
      <c r="A18" s="74"/>
      <c r="B18" s="74"/>
      <c r="C18" s="75"/>
      <c r="D18" s="76"/>
      <c r="E18" s="77"/>
      <c r="F18" s="78"/>
      <c r="G18" s="78"/>
      <c r="H18" s="78"/>
      <c r="I18" s="78"/>
      <c r="J18" s="78"/>
      <c r="K18" s="78"/>
      <c r="L18" s="78"/>
      <c r="M18" s="79"/>
      <c r="N18" s="27"/>
      <c r="O18" s="80"/>
      <c r="P18" s="78"/>
      <c r="Q18" s="79"/>
      <c r="R18" s="81"/>
    </row>
    <row r="19" spans="1:18" s="73" customFormat="1" ht="15" x14ac:dyDescent="0.2">
      <c r="A19" s="62"/>
      <c r="B19" s="62"/>
      <c r="C19" s="42" t="s">
        <v>39</v>
      </c>
      <c r="D19" s="82"/>
      <c r="E19" s="64"/>
      <c r="F19" s="65"/>
      <c r="G19" s="65">
        <f>+J9+Deposit!B4</f>
        <v>-18954.048000000068</v>
      </c>
      <c r="H19" s="65"/>
      <c r="I19" s="66"/>
      <c r="J19" s="66">
        <f>+G19-SUMIF(H14:H18,"&gt;0",G14:G18)-SUM(H14:H18)-SUM(K14:K18)+SUMIF(K14:K18,"&gt;0",J14:J18)+N21</f>
        <v>16165.951999999932</v>
      </c>
      <c r="K19" s="66"/>
      <c r="L19" s="67"/>
      <c r="M19" s="83"/>
      <c r="N19" s="69">
        <v>120</v>
      </c>
      <c r="O19" s="70">
        <f>+N19/(G19+H19+K19)</f>
        <v>-6.3311014090499072E-3</v>
      </c>
      <c r="P19" s="46">
        <f>SUM(L19:N19)</f>
        <v>120</v>
      </c>
      <c r="Q19" s="84">
        <f t="shared" ref="Q19" si="1">P19/(G19+H19+K19)</f>
        <v>-6.3311014090499072E-3</v>
      </c>
      <c r="R19" s="72"/>
    </row>
    <row r="20" spans="1:18" s="73" customFormat="1" ht="15" x14ac:dyDescent="0.2">
      <c r="A20" s="85"/>
      <c r="B20" s="85"/>
      <c r="D20" s="86"/>
      <c r="E20" s="87"/>
      <c r="F20" s="88"/>
      <c r="G20" s="88"/>
      <c r="H20" s="88"/>
      <c r="I20" s="88"/>
      <c r="J20" s="88"/>
      <c r="K20" s="88"/>
      <c r="L20" s="88"/>
      <c r="M20" s="89"/>
      <c r="N20" s="90"/>
      <c r="O20" s="91"/>
      <c r="P20" s="88"/>
      <c r="Q20" s="89"/>
      <c r="R20" s="92"/>
    </row>
    <row r="21" spans="1:18" s="41" customFormat="1" ht="15.75" customHeight="1" x14ac:dyDescent="0.25">
      <c r="A21" s="119"/>
      <c r="B21" s="119"/>
      <c r="C21" s="30" t="s">
        <v>40</v>
      </c>
      <c r="D21" s="31"/>
      <c r="E21" s="32"/>
      <c r="F21" s="33"/>
      <c r="G21" s="35">
        <f>+J11+Return!B4</f>
        <v>1898545.952</v>
      </c>
      <c r="H21" s="35"/>
      <c r="I21" s="34"/>
      <c r="J21" s="36">
        <f>SUM(J15:J20)</f>
        <v>2004165.952</v>
      </c>
      <c r="K21" s="36"/>
      <c r="L21" s="37">
        <f>SUM(L14:L20)</f>
        <v>70500</v>
      </c>
      <c r="M21" s="60">
        <f>L21/(G21+H21+K21)</f>
        <v>3.7133681134097721E-2</v>
      </c>
      <c r="N21" s="38">
        <f>SUM(N14:N20)</f>
        <v>35120</v>
      </c>
      <c r="O21" s="113">
        <f>N21/(G21+H21+K21)</f>
        <v>1.8498367112475347E-2</v>
      </c>
      <c r="P21" s="39">
        <f>SUM(P14:P20)</f>
        <v>105620</v>
      </c>
      <c r="Q21" s="59">
        <f>P21/(G21+H21+K21)</f>
        <v>5.5632048246573071E-2</v>
      </c>
      <c r="R21" s="40"/>
    </row>
    <row r="24" spans="1:18" x14ac:dyDescent="0.2">
      <c r="D24" s="114" t="s">
        <v>107</v>
      </c>
      <c r="E24" s="114"/>
      <c r="F24" s="114"/>
      <c r="G24" s="114"/>
    </row>
    <row r="25" spans="1:18" x14ac:dyDescent="0.2">
      <c r="D25" s="114" t="s">
        <v>106</v>
      </c>
      <c r="E25" s="114"/>
      <c r="F25" s="114"/>
      <c r="G25" s="114"/>
    </row>
    <row r="26" spans="1:18" ht="16.5" x14ac:dyDescent="0.3">
      <c r="D26" s="115" t="s">
        <v>104</v>
      </c>
      <c r="E26" s="114"/>
      <c r="F26" s="114"/>
      <c r="G26" s="114"/>
    </row>
    <row r="27" spans="1:18" ht="16.5" x14ac:dyDescent="0.3">
      <c r="D27" s="115" t="s">
        <v>105</v>
      </c>
      <c r="E27" s="114"/>
      <c r="F27" s="114"/>
      <c r="G27" s="114"/>
    </row>
    <row r="28" spans="1:18" x14ac:dyDescent="0.2">
      <c r="D28" s="114"/>
      <c r="E28" s="114"/>
      <c r="F28" s="114"/>
      <c r="G28" s="114"/>
    </row>
    <row r="29" spans="1:18" x14ac:dyDescent="0.2">
      <c r="D29" s="114" t="s">
        <v>108</v>
      </c>
      <c r="E29" s="114"/>
      <c r="F29" s="114"/>
      <c r="G29" s="114"/>
      <c r="H29" s="123" t="s">
        <v>113</v>
      </c>
    </row>
    <row r="30" spans="1:18" x14ac:dyDescent="0.2">
      <c r="D30" s="114" t="s">
        <v>109</v>
      </c>
      <c r="E30" s="114"/>
      <c r="F30" s="114"/>
      <c r="G30" s="114"/>
    </row>
    <row r="31" spans="1:18" x14ac:dyDescent="0.2">
      <c r="D31" s="114" t="s">
        <v>110</v>
      </c>
      <c r="E31" s="114"/>
      <c r="F31" s="114"/>
      <c r="G31" s="114"/>
    </row>
    <row r="32" spans="1:18" x14ac:dyDescent="0.2">
      <c r="D32" s="114"/>
      <c r="E32" s="114"/>
      <c r="F32" s="114"/>
      <c r="G32" s="114"/>
    </row>
    <row r="33" spans="4:7" x14ac:dyDescent="0.2">
      <c r="D33" s="114" t="s">
        <v>111</v>
      </c>
      <c r="E33" s="114"/>
      <c r="F33" s="114"/>
      <c r="G33" s="114"/>
    </row>
    <row r="34" spans="4:7" x14ac:dyDescent="0.2">
      <c r="D34" s="114"/>
      <c r="E34" s="114"/>
      <c r="F34" s="114"/>
      <c r="G34" s="114"/>
    </row>
    <row r="35" spans="4:7" x14ac:dyDescent="0.2">
      <c r="D35" s="114" t="s">
        <v>112</v>
      </c>
    </row>
  </sheetData>
  <mergeCells count="4">
    <mergeCell ref="A11:B11"/>
    <mergeCell ref="A3:Q3"/>
    <mergeCell ref="A13:Q13"/>
    <mergeCell ref="A21:B21"/>
  </mergeCells>
  <conditionalFormatting sqref="L2:P2">
    <cfRule type="cellIs" dxfId="49" priority="56" operator="lessThan">
      <formula>0</formula>
    </cfRule>
  </conditionalFormatting>
  <conditionalFormatting sqref="Q2">
    <cfRule type="cellIs" dxfId="48" priority="49" operator="lessThan">
      <formula>0</formula>
    </cfRule>
    <cfRule type="cellIs" dxfId="47" priority="50" operator="lessThan">
      <formula>0</formula>
    </cfRule>
    <cfRule type="cellIs" dxfId="46" priority="51" operator="lessThan">
      <formula>0</formula>
    </cfRule>
    <cfRule type="cellIs" dxfId="45" priority="52" operator="lessThan">
      <formula>0</formula>
    </cfRule>
    <cfRule type="cellIs" dxfId="44" priority="53" operator="lessThan">
      <formula>0</formula>
    </cfRule>
    <cfRule type="cellIs" dxfId="43" priority="54" operator="lessThan">
      <formula>0</formula>
    </cfRule>
  </conditionalFormatting>
  <conditionalFormatting sqref="Q2">
    <cfRule type="cellIs" dxfId="42" priority="55" operator="lessThan">
      <formula>0</formula>
    </cfRule>
  </conditionalFormatting>
  <conditionalFormatting sqref="Q2">
    <cfRule type="cellIs" dxfId="41" priority="48" operator="lessThan">
      <formula>0</formula>
    </cfRule>
  </conditionalFormatting>
  <conditionalFormatting sqref="L5:Q5">
    <cfRule type="cellIs" dxfId="40" priority="47" operator="lessThan">
      <formula>0</formula>
    </cfRule>
  </conditionalFormatting>
  <conditionalFormatting sqref="N8">
    <cfRule type="cellIs" dxfId="39" priority="46" operator="lessThan">
      <formula>0</formula>
    </cfRule>
  </conditionalFormatting>
  <conditionalFormatting sqref="L10:P10 N11 L8:M9 O8:Q8">
    <cfRule type="cellIs" dxfId="38" priority="45" operator="lessThan">
      <formula>0</formula>
    </cfRule>
  </conditionalFormatting>
  <conditionalFormatting sqref="Q10">
    <cfRule type="cellIs" dxfId="37" priority="44" operator="lessThan">
      <formula>0</formula>
    </cfRule>
  </conditionalFormatting>
  <conditionalFormatting sqref="L11">
    <cfRule type="cellIs" dxfId="36" priority="43" operator="lessThan">
      <formula>0</formula>
    </cfRule>
  </conditionalFormatting>
  <conditionalFormatting sqref="P11">
    <cfRule type="cellIs" dxfId="35" priority="42" operator="lessThan">
      <formula>0</formula>
    </cfRule>
  </conditionalFormatting>
  <conditionalFormatting sqref="Q11">
    <cfRule type="cellIs" dxfId="34" priority="41" operator="lessThan">
      <formula>0</formula>
    </cfRule>
  </conditionalFormatting>
  <conditionalFormatting sqref="N9 P9">
    <cfRule type="cellIs" dxfId="33" priority="40" operator="lessThan">
      <formula>0</formula>
    </cfRule>
  </conditionalFormatting>
  <conditionalFormatting sqref="O11">
    <cfRule type="cellIs" dxfId="32" priority="39" operator="lessThan">
      <formula>0</formula>
    </cfRule>
  </conditionalFormatting>
  <conditionalFormatting sqref="M11">
    <cfRule type="cellIs" dxfId="31" priority="38" operator="lessThan">
      <formula>0</formula>
    </cfRule>
  </conditionalFormatting>
  <conditionalFormatting sqref="Q9">
    <cfRule type="cellIs" dxfId="30" priority="34" operator="lessThan">
      <formula>0</formula>
    </cfRule>
  </conditionalFormatting>
  <conditionalFormatting sqref="L6:M6 O6:Q6">
    <cfRule type="cellIs" dxfId="29" priority="32" operator="lessThan">
      <formula>0</formula>
    </cfRule>
  </conditionalFormatting>
  <conditionalFormatting sqref="N6">
    <cfRule type="cellIs" dxfId="28" priority="31" operator="lessThan">
      <formula>0</formula>
    </cfRule>
  </conditionalFormatting>
  <conditionalFormatting sqref="O9">
    <cfRule type="cellIs" dxfId="27" priority="27" operator="lessThan">
      <formula>0</formula>
    </cfRule>
  </conditionalFormatting>
  <conditionalFormatting sqref="L7:M7 O7:Q7">
    <cfRule type="cellIs" dxfId="26" priority="24" operator="lessThan">
      <formula>0</formula>
    </cfRule>
  </conditionalFormatting>
  <conditionalFormatting sqref="N7">
    <cfRule type="cellIs" dxfId="25" priority="23" operator="lessThan">
      <formula>0</formula>
    </cfRule>
  </conditionalFormatting>
  <conditionalFormatting sqref="L4:M4 O4:Q4">
    <cfRule type="cellIs" dxfId="24" priority="22" operator="lessThan">
      <formula>0</formula>
    </cfRule>
  </conditionalFormatting>
  <conditionalFormatting sqref="N4">
    <cfRule type="cellIs" dxfId="23" priority="21" operator="lessThan">
      <formula>0</formula>
    </cfRule>
  </conditionalFormatting>
  <conditionalFormatting sqref="L15:Q15">
    <cfRule type="cellIs" dxfId="22" priority="18" operator="lessThan">
      <formula>0</formula>
    </cfRule>
  </conditionalFormatting>
  <conditionalFormatting sqref="N18">
    <cfRule type="cellIs" dxfId="21" priority="17" operator="lessThan">
      <formula>0</formula>
    </cfRule>
  </conditionalFormatting>
  <conditionalFormatting sqref="L20:P20 N21 L18:M19 O18:Q18">
    <cfRule type="cellIs" dxfId="20" priority="16" operator="lessThan">
      <formula>0</formula>
    </cfRule>
  </conditionalFormatting>
  <conditionalFormatting sqref="Q20">
    <cfRule type="cellIs" dxfId="19" priority="15" operator="lessThan">
      <formula>0</formula>
    </cfRule>
  </conditionalFormatting>
  <conditionalFormatting sqref="L21">
    <cfRule type="cellIs" dxfId="18" priority="14" operator="lessThan">
      <formula>0</formula>
    </cfRule>
  </conditionalFormatting>
  <conditionalFormatting sqref="P21">
    <cfRule type="cellIs" dxfId="17" priority="13" operator="lessThan">
      <formula>0</formula>
    </cfRule>
  </conditionalFormatting>
  <conditionalFormatting sqref="Q21">
    <cfRule type="cellIs" dxfId="16" priority="12" operator="lessThan">
      <formula>0</formula>
    </cfRule>
  </conditionalFormatting>
  <conditionalFormatting sqref="N19 P19">
    <cfRule type="cellIs" dxfId="15" priority="11" operator="lessThan">
      <formula>0</formula>
    </cfRule>
  </conditionalFormatting>
  <conditionalFormatting sqref="O21">
    <cfRule type="cellIs" dxfId="14" priority="10" operator="lessThan">
      <formula>0</formula>
    </cfRule>
  </conditionalFormatting>
  <conditionalFormatting sqref="M21">
    <cfRule type="cellIs" dxfId="13" priority="9" operator="lessThan">
      <formula>0</formula>
    </cfRule>
  </conditionalFormatting>
  <conditionalFormatting sqref="Q19">
    <cfRule type="cellIs" dxfId="12" priority="8" operator="lessThan">
      <formula>0</formula>
    </cfRule>
  </conditionalFormatting>
  <conditionalFormatting sqref="L16:M16 O16:Q16">
    <cfRule type="cellIs" dxfId="11" priority="7" operator="lessThan">
      <formula>0</formula>
    </cfRule>
  </conditionalFormatting>
  <conditionalFormatting sqref="N16">
    <cfRule type="cellIs" dxfId="10" priority="6" operator="lessThan">
      <formula>0</formula>
    </cfRule>
  </conditionalFormatting>
  <conditionalFormatting sqref="O19">
    <cfRule type="cellIs" dxfId="9" priority="5" operator="lessThan">
      <formula>0</formula>
    </cfRule>
  </conditionalFormatting>
  <conditionalFormatting sqref="L17:M17 O17:Q17">
    <cfRule type="cellIs" dxfId="8" priority="4" operator="lessThan">
      <formula>0</formula>
    </cfRule>
  </conditionalFormatting>
  <conditionalFormatting sqref="N17">
    <cfRule type="cellIs" dxfId="7" priority="3" operator="lessThan">
      <formula>0</formula>
    </cfRule>
  </conditionalFormatting>
  <conditionalFormatting sqref="L14:M14 O14:Q14">
    <cfRule type="cellIs" dxfId="6" priority="2" operator="lessThan">
      <formula>0</formula>
    </cfRule>
  </conditionalFormatting>
  <conditionalFormatting sqref="N14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zoomScale="130" zoomScaleNormal="130" workbookViewId="0">
      <selection activeCell="E19" sqref="E19"/>
    </sheetView>
  </sheetViews>
  <sheetFormatPr defaultRowHeight="16.5" x14ac:dyDescent="0.3"/>
  <cols>
    <col min="1" max="1" width="5.625" bestFit="1" customWidth="1"/>
    <col min="2" max="2" width="14.625" bestFit="1" customWidth="1"/>
    <col min="3" max="3" width="11.25" bestFit="1" customWidth="1"/>
    <col min="4" max="4" width="12.875" bestFit="1" customWidth="1"/>
    <col min="5" max="5" width="14.875" bestFit="1" customWidth="1"/>
    <col min="6" max="6" width="14.625" bestFit="1" customWidth="1"/>
    <col min="7" max="7" width="14.875" bestFit="1" customWidth="1"/>
    <col min="8" max="8" width="14.625" bestFit="1" customWidth="1"/>
    <col min="9" max="9" width="12.375" bestFit="1" customWidth="1"/>
    <col min="10" max="10" width="12.625" bestFit="1" customWidth="1"/>
  </cols>
  <sheetData>
    <row r="1" spans="1:10" s="51" customFormat="1" ht="14.25" x14ac:dyDescent="0.2">
      <c r="A1" s="48" t="s">
        <v>66</v>
      </c>
      <c r="B1" s="48" t="s">
        <v>91</v>
      </c>
      <c r="C1" s="48" t="s">
        <v>92</v>
      </c>
      <c r="D1" s="48" t="s">
        <v>96</v>
      </c>
      <c r="E1" s="48" t="s">
        <v>67</v>
      </c>
      <c r="F1" s="48" t="s">
        <v>94</v>
      </c>
      <c r="G1" s="48" t="s">
        <v>68</v>
      </c>
      <c r="H1" s="48" t="s">
        <v>95</v>
      </c>
      <c r="I1" s="48" t="s">
        <v>93</v>
      </c>
      <c r="J1" s="48" t="s">
        <v>69</v>
      </c>
    </row>
    <row r="2" spans="1:10" x14ac:dyDescent="0.3">
      <c r="A2" s="50" t="s">
        <v>10</v>
      </c>
      <c r="B2" s="49" t="s">
        <v>43</v>
      </c>
      <c r="C2" s="49" t="s">
        <v>44</v>
      </c>
      <c r="D2" s="49" t="s">
        <v>45</v>
      </c>
      <c r="E2" s="49" t="s">
        <v>46</v>
      </c>
      <c r="F2" s="49" t="s">
        <v>47</v>
      </c>
      <c r="G2" s="49" t="s">
        <v>48</v>
      </c>
      <c r="H2" s="49" t="s">
        <v>49</v>
      </c>
      <c r="I2" s="49" t="s">
        <v>44</v>
      </c>
      <c r="J2" s="49" t="s">
        <v>5</v>
      </c>
    </row>
    <row r="3" spans="1:10" x14ac:dyDescent="0.3">
      <c r="A3" s="94">
        <v>2021</v>
      </c>
      <c r="B3" s="52">
        <f>+Deposit!B3</f>
        <v>1250000</v>
      </c>
      <c r="C3" s="43">
        <v>100</v>
      </c>
      <c r="D3" s="43">
        <f>+B3/C3</f>
        <v>12500</v>
      </c>
      <c r="E3" s="43">
        <f>+D3</f>
        <v>12500</v>
      </c>
      <c r="F3" s="43">
        <f>+B3</f>
        <v>1250000</v>
      </c>
      <c r="G3" s="53">
        <f>+Portfolio!P11</f>
        <v>748545.95200000005</v>
      </c>
      <c r="H3" s="43">
        <f t="shared" ref="H3" si="0">+G3+F3</f>
        <v>1998545.952</v>
      </c>
      <c r="I3" s="43">
        <f>+H3/E3</f>
        <v>159.88367615999999</v>
      </c>
      <c r="J3" s="95">
        <f>(I3-C3)/C3</f>
        <v>0.59883676159999988</v>
      </c>
    </row>
    <row r="4" spans="1:10" x14ac:dyDescent="0.3">
      <c r="A4" s="94">
        <v>2022</v>
      </c>
      <c r="B4" s="52">
        <f>+Deposit!B4</f>
        <v>-100000</v>
      </c>
      <c r="C4" s="43">
        <f>+I3</f>
        <v>159.88367615999999</v>
      </c>
      <c r="D4" s="43">
        <f>+B4/C4</f>
        <v>-625.45472059278427</v>
      </c>
      <c r="E4" s="43">
        <f>+E3+D4</f>
        <v>11874.545279407215</v>
      </c>
      <c r="F4" s="43">
        <f>+B4+H3</f>
        <v>1898545.952</v>
      </c>
      <c r="G4" s="53">
        <f>+Portfolio!P21</f>
        <v>105620</v>
      </c>
      <c r="H4" s="43">
        <f t="shared" ref="H4" si="1">+G4+F4</f>
        <v>2004165.952</v>
      </c>
      <c r="I4" s="43">
        <f>+H4/E4</f>
        <v>168.7783325459726</v>
      </c>
      <c r="J4" s="95">
        <f>(I4-C4)/C4</f>
        <v>5.563204824657323E-2</v>
      </c>
    </row>
    <row r="5" spans="1:10" x14ac:dyDescent="0.3">
      <c r="A5" s="45"/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3">
      <c r="A6" s="96" t="s">
        <v>0</v>
      </c>
      <c r="B6" s="46">
        <f>SUM(B3:B5)</f>
        <v>1150000</v>
      </c>
      <c r="C6" s="46"/>
      <c r="D6" s="46"/>
      <c r="E6" s="46"/>
      <c r="F6" s="46"/>
      <c r="G6" s="46">
        <f>SUM(G3:G5)</f>
        <v>854165.95200000005</v>
      </c>
      <c r="H6" s="46"/>
      <c r="I6" s="46" t="s">
        <v>89</v>
      </c>
      <c r="J6" s="97">
        <f>_xlfn.RRI(2,C3,I4)</f>
        <v>0.2991471531199712</v>
      </c>
    </row>
  </sheetData>
  <conditionalFormatting sqref="A2:J3 A5:J6">
    <cfRule type="cellIs" dxfId="4" priority="18" operator="lessThan">
      <formula>0</formula>
    </cfRule>
  </conditionalFormatting>
  <conditionalFormatting sqref="G2 G5:G6">
    <cfRule type="cellIs" dxfId="3" priority="17" operator="lessThan">
      <formula>0</formula>
    </cfRule>
  </conditionalFormatting>
  <conditionalFormatting sqref="G3">
    <cfRule type="cellIs" dxfId="2" priority="13" operator="lessThan">
      <formula>0</formula>
    </cfRule>
  </conditionalFormatting>
  <conditionalFormatting sqref="A4:J4">
    <cfRule type="cellIs" dxfId="1" priority="2" operator="lessThan">
      <formula>0</formula>
    </cfRule>
  </conditionalFormatting>
  <conditionalFormatting sqref="G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</vt:lpstr>
      <vt:lpstr>Deposit</vt:lpstr>
      <vt:lpstr>Portfolio</vt:lpstr>
      <vt:lpstr>Return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Prapas Boonchuen</dc:creator>
  <cp:lastModifiedBy>User</cp:lastModifiedBy>
  <dcterms:created xsi:type="dcterms:W3CDTF">2020-06-08T12:23:54Z</dcterms:created>
  <dcterms:modified xsi:type="dcterms:W3CDTF">2022-12-08T06:06:24Z</dcterms:modified>
</cp:coreProperties>
</file>